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4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5" r:id="rId56"/>
    <sheet name="331" sheetId="30" r:id="rId57"/>
    <sheet name="315" sheetId="69" r:id="rId58"/>
    <sheet name="326" sheetId="77" r:id="rId59"/>
    <sheet name="332" sheetId="33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'300'!$D$13:$D$77</definedName>
    <definedName name="OSRRefD13x_0" localSheetId="49">'300 &amp; 317'!$D$13:$D$91</definedName>
    <definedName name="OSRRefD13x_0" localSheetId="52">'307'!$D$13:$D$23</definedName>
    <definedName name="OSRRefD13x_0" localSheetId="53">'308'!$D$13:$D$35</definedName>
    <definedName name="OSRRefD13x_0" localSheetId="64">'309'!$D$13</definedName>
    <definedName name="OSRRefD13x_0" localSheetId="63">'310'!$D$13:$D$20</definedName>
    <definedName name="OSRRefD13x_0" localSheetId="71">'310 &amp; 491'!$D$13:$D$24</definedName>
    <definedName name="OSRRefD13x_0" localSheetId="54">'311'!$D$13:$D$34</definedName>
    <definedName name="OSRRefD13x_0" localSheetId="65">'313'!$D$13:$D$17</definedName>
    <definedName name="OSRRefD13x_0" localSheetId="57">'315'!$D$13:$D$50</definedName>
    <definedName name="OSRRefD13x_0" localSheetId="60">'316'!$D$13:$D$24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'326'!$D$13:$D$33</definedName>
    <definedName name="OSRRefD13x_0" localSheetId="69">'327'!$D$13:$D$14</definedName>
    <definedName name="OSRRefD13x_0" localSheetId="51">'330'!$D$13:$D$26</definedName>
    <definedName name="OSRRefD13x_0" localSheetId="56">'331'!$D$13:$D$50</definedName>
    <definedName name="OSRRefD13x_0" localSheetId="59">'332'!$D$13:$D$24</definedName>
    <definedName name="OSRRefD13x_0" localSheetId="73">'405'!$D$13:$D$14</definedName>
    <definedName name="OSRRefD13x_0" localSheetId="76">'412'!$D$13</definedName>
    <definedName name="OSRRefD13x_0" localSheetId="77">'413'!$D$13:$D$14</definedName>
    <definedName name="OSRRefD13x_0" localSheetId="78">'414'!$D$13:$D$15</definedName>
    <definedName name="OSRRefD13x_0" localSheetId="79">'415'!$D$13:$D$16</definedName>
    <definedName name="OSRRefD13x_0" localSheetId="80">'418'!$D$13:$D$14</definedName>
    <definedName name="OSRRefD13x_0" localSheetId="81">'420'!$D$13</definedName>
    <definedName name="OSRRefD13x_0" localSheetId="88">'433'!$D$13:$D$16</definedName>
    <definedName name="OSRRefD13x_0" localSheetId="90">'444'!$D$13:$D$16</definedName>
    <definedName name="OSRRefD13x_0" localSheetId="91">'450'!$D$13:$D$14</definedName>
    <definedName name="OSRRefD13x_0" localSheetId="72">'491'!$D$13:$D$18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3'!$D$13:$D$79</definedName>
    <definedName name="OSRRefD13x_0" localSheetId="70">'Div 4'!$D$13:$D$20</definedName>
    <definedName name="OSRRefD13x_0" localSheetId="92">'Div 5'!$D$13</definedName>
    <definedName name="OSRRefD13x_0" localSheetId="61">'Div 6'!$D$13:$D$30</definedName>
    <definedName name="OSRRefD13x_0" localSheetId="2">Summary!$D$13:$D$98</definedName>
    <definedName name="OSRRefD16x_0" localSheetId="48">'300'!$D$80:$D$118</definedName>
    <definedName name="OSRRefD16x_0" localSheetId="49">'300 &amp; 317'!$D$94:$D$141</definedName>
    <definedName name="OSRRefD16x_0" localSheetId="52">'307'!$D$26:$D$33</definedName>
    <definedName name="OSRRefD16x_0" localSheetId="53">'308'!$D$38:$D$53</definedName>
    <definedName name="OSRRefD16x_0" localSheetId="64">'309'!$D$16</definedName>
    <definedName name="OSRRefD16x_0" localSheetId="63">'310'!$D$23:$D$25</definedName>
    <definedName name="OSRRefD16x_0" localSheetId="71">'310 &amp; 491'!$D$27:$D$29</definedName>
    <definedName name="OSRRefD16x_0" localSheetId="54">'311'!$D$37:$D$52</definedName>
    <definedName name="OSRRefD16x_0" localSheetId="65">'313'!$D$20:$D$21</definedName>
    <definedName name="OSRRefD16x_0" localSheetId="57">'315'!$D$53:$D$75</definedName>
    <definedName name="OSRRefD16x_0" localSheetId="62">'317'!$D$33:$D$46</definedName>
    <definedName name="OSRRefD16x_0" localSheetId="66">'321'!$D$18:$D$20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'326'!$D$36:$D$42</definedName>
    <definedName name="OSRRefD16x_0" localSheetId="69">'327'!$D$17:$D$18</definedName>
    <definedName name="OSRRefD16x_0" localSheetId="51">'330'!$D$29:$D$36</definedName>
    <definedName name="OSRRefD16x_0" localSheetId="56">'331'!$D$53:$D$76</definedName>
    <definedName name="OSRRefD16x_0" localSheetId="59">'332'!$D$27:$D$28</definedName>
    <definedName name="OSRRefD16x_0" localSheetId="73">'405'!$D$17:$D$18</definedName>
    <definedName name="OSRRefD16x_0" localSheetId="76">'412'!$D$16</definedName>
    <definedName name="OSRRefD16x_0" localSheetId="77">'413'!$D$17</definedName>
    <definedName name="OSRRefD16x_0" localSheetId="78">'414'!$D$18:$D$19</definedName>
    <definedName name="OSRRefD16x_0" localSheetId="79">'415'!$D$19:$D$21</definedName>
    <definedName name="OSRRefD16x_0" localSheetId="80">'418'!$D$17:$D$18</definedName>
    <definedName name="OSRRefD16x_0" localSheetId="84">'425'!$D$15</definedName>
    <definedName name="OSRRefD16x_0" localSheetId="88">'433'!$D$19:$D$21</definedName>
    <definedName name="OSRRefD16x_0" localSheetId="90">'444'!$D$19:$D$21</definedName>
    <definedName name="OSRRefD16x_0" localSheetId="91">'450'!$D$17</definedName>
    <definedName name="OSRRefD16x_0" localSheetId="72">'491'!$D$21:$D$23</definedName>
    <definedName name="OSRRefD16x_0" localSheetId="86">'492'!$D$19:$D$21</definedName>
    <definedName name="OSRRefD16x_0" localSheetId="47">'Div 3'!$D$82:$D$122</definedName>
    <definedName name="OSRRefD16x_0" localSheetId="70">'Div 4'!$D$23:$D$25</definedName>
    <definedName name="OSRRefD16x_0" localSheetId="61">'Div 6'!$D$33:$D$46</definedName>
    <definedName name="OSRRefD16x_0" localSheetId="2">Summary!$D$101:$D$150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'300'!$D$124:$D$133</definedName>
    <definedName name="OSRRefD22_0x_0" localSheetId="49">'300 &amp; 317'!$D$147:$D$156</definedName>
    <definedName name="OSRRefD22_0x_0" localSheetId="50">'301'!$D$20:$D$29</definedName>
    <definedName name="OSRRefD22_0x_0" localSheetId="52">'307'!$D$39:$D$46</definedName>
    <definedName name="OSRRefD22_0x_0" localSheetId="53">'308'!$D$59:$D$68</definedName>
    <definedName name="OSRRefD22_0x_0" localSheetId="64">'309'!$D$22:$D$29</definedName>
    <definedName name="OSRRefD22_0x_0" localSheetId="63">'310'!$D$31:$D$39</definedName>
    <definedName name="OSRRefD22_0x_0" localSheetId="71">'310 &amp; 491'!$D$35:$D$43</definedName>
    <definedName name="OSRRefD22_0x_0" localSheetId="54">'311'!$D$58:$D$67</definedName>
    <definedName name="OSRRefD22_0x_0" localSheetId="65">'313'!$D$27:$D$35</definedName>
    <definedName name="OSRRefD22_0x_0" localSheetId="57">'315'!$D$81:$D$89</definedName>
    <definedName name="OSRRefD22_0x_0" localSheetId="60">'316'!$D$32:$D$40</definedName>
    <definedName name="OSRRefD22_0x_0" localSheetId="62">'317'!$D$52:$D$61</definedName>
    <definedName name="OSRRefD22_0x_0" localSheetId="66">'321'!$D$26:$D$34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'326'!$D$48:$D$56</definedName>
    <definedName name="OSRRefD22_0x_0" localSheetId="69">'327'!$D$24</definedName>
    <definedName name="OSRRefD22_0x_0" localSheetId="51">'330'!$D$42:$D$50</definedName>
    <definedName name="OSRRefD22_0x_0" localSheetId="56">'331'!$D$82:$D$90</definedName>
    <definedName name="OSRRefD22_0x_0" localSheetId="59">'332'!$D$34:$D$42</definedName>
    <definedName name="OSRRefD22_0x_0" localSheetId="73">'405'!$D$24:$D$31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7">'413'!$D$23:$D$31</definedName>
    <definedName name="OSRRefD22_0x_0" localSheetId="78">'414'!$D$25:$D$33</definedName>
    <definedName name="OSRRefD22_0x_0" localSheetId="79">'415'!$D$27:$D$35</definedName>
    <definedName name="OSRRefD22_0x_0" localSheetId="80">'418'!$D$24:$D$31</definedName>
    <definedName name="OSRRefD22_0x_0" localSheetId="81">'420'!$D$21</definedName>
    <definedName name="OSRRefD22_0x_0" localSheetId="82">'423'!$D$20:$D$27</definedName>
    <definedName name="OSRRefD22_0x_0" localSheetId="83">'424'!$D$20</definedName>
    <definedName name="OSRRefD22_0x_0" localSheetId="84">'425'!$D$21:$D$25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'450'!$D$23:$D$32</definedName>
    <definedName name="OSRRefD22_0x_0" localSheetId="72">'491'!$D$29:$D$37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3'!$D$128:$D$137</definedName>
    <definedName name="OSRRefD22_0x_0" localSheetId="70">'Div 4'!$D$31:$D$40</definedName>
    <definedName name="OSRRefD22_0x_0" localSheetId="92">'Div 5'!$D$21:$D$30</definedName>
    <definedName name="OSRRefD22_0x_0" localSheetId="61">'Div 6'!$D$52:$D$61</definedName>
    <definedName name="OSRRefD22_0x_0" localSheetId="2">Summary!$D$156:$D$165</definedName>
    <definedName name="OSRRefD22_10x_0" localSheetId="41">'201'!$D$59:$D$61</definedName>
    <definedName name="OSRRefD22_10x_0" localSheetId="42">'202'!$D$63</definedName>
    <definedName name="OSRRefD22_10x_0" localSheetId="43">'203'!$D$62</definedName>
    <definedName name="OSRRefD22_10x_0" localSheetId="44">'204'!$D$62:$D$63</definedName>
    <definedName name="OSRRefD22_10x_0" localSheetId="48">'300'!$D$166:$D$167</definedName>
    <definedName name="OSRRefD22_10x_0" localSheetId="49">'300 &amp; 317'!$D$189:$D$190</definedName>
    <definedName name="OSRRefD22_10x_0" localSheetId="50">'301'!$D$60</definedName>
    <definedName name="OSRRefD22_10x_0" localSheetId="52">'307'!$D$77:$D$78</definedName>
    <definedName name="OSRRefD22_10x_0" localSheetId="53">'308'!$D$101:$D$102</definedName>
    <definedName name="OSRRefD22_10x_0" localSheetId="64">'309'!$D$62</definedName>
    <definedName name="OSRRefD22_10x_0" localSheetId="63">'310'!$D$69</definedName>
    <definedName name="OSRRefD22_10x_0" localSheetId="71">'310 &amp; 491'!$D$75</definedName>
    <definedName name="OSRRefD22_10x_0" localSheetId="54">'311'!$D$100:$D$101</definedName>
    <definedName name="OSRRefD22_10x_0" localSheetId="65">'313'!$D$68</definedName>
    <definedName name="OSRRefD22_10x_0" localSheetId="57">'315'!$D$120</definedName>
    <definedName name="OSRRefD22_10x_0" localSheetId="60">'316'!$D$75</definedName>
    <definedName name="OSRRefD22_10x_0" localSheetId="62">'317'!$D$92:$D$95</definedName>
    <definedName name="OSRRefD22_10x_0" localSheetId="66">'321'!$D$66:$D$68</definedName>
    <definedName name="OSRRefD22_10x_0" localSheetId="67">'322'!$D$64</definedName>
    <definedName name="OSRRefD22_10x_0" localSheetId="68">'325'!$D$62</definedName>
    <definedName name="OSRRefD22_10x_0" localSheetId="58">'326'!$D$86</definedName>
    <definedName name="OSRRefD22_10x_0" localSheetId="51">'330'!$D$81:$D$82</definedName>
    <definedName name="OSRRefD22_10x_0" localSheetId="56">'331'!$D$121</definedName>
    <definedName name="OSRRefD22_10x_0" localSheetId="59">'332'!$D$77</definedName>
    <definedName name="OSRRefD22_10x_0" localSheetId="73">'405'!$D$62</definedName>
    <definedName name="OSRRefD22_10x_0" localSheetId="75">'411'!$D$61:$D$64</definedName>
    <definedName name="OSRRefD22_10x_0" localSheetId="76">'412'!$D$60:$D$63</definedName>
    <definedName name="OSRRefD22_10x_0" localSheetId="77">'413'!$D$64:$D$71</definedName>
    <definedName name="OSRRefD22_10x_0" localSheetId="78">'414'!$D$63</definedName>
    <definedName name="OSRRefD22_10x_0" localSheetId="79">'415'!$D$65</definedName>
    <definedName name="OSRRefD22_10x_0" localSheetId="80">'418'!$D$64:$D$65</definedName>
    <definedName name="OSRRefD22_10x_0" localSheetId="88">'433'!$D$65</definedName>
    <definedName name="OSRRefD22_10x_0" localSheetId="90">'444'!$D$65</definedName>
    <definedName name="OSRRefD22_10x_0" localSheetId="91">'450'!$D$61</definedName>
    <definedName name="OSRRefD22_10x_0" localSheetId="72">'491'!$D$68</definedName>
    <definedName name="OSRRefD22_10x_0" localSheetId="86">'492'!$D$65</definedName>
    <definedName name="OSRRefD22_10x_0" localSheetId="93">'501'!$D$63:$D$64</definedName>
    <definedName name="OSRRefD22_10x_0" localSheetId="39">'Div 2'!$D$63</definedName>
    <definedName name="OSRRefD22_10x_0" localSheetId="47">'Div 3'!$D$170:$D$171</definedName>
    <definedName name="OSRRefD22_10x_0" localSheetId="70">'Div 4'!$D$71</definedName>
    <definedName name="OSRRefD22_10x_0" localSheetId="92">'Div 5'!$D$63:$D$64</definedName>
    <definedName name="OSRRefD22_10x_0" localSheetId="61">'Div 6'!$D$92:$D$95</definedName>
    <definedName name="OSRRefD22_10x_0" localSheetId="2">Summary!$D$199:$D$200</definedName>
    <definedName name="OSRRefD22_11x_0" localSheetId="41">'201'!$D$63:$D$64</definedName>
    <definedName name="OSRRefD22_11x_0" localSheetId="42">'202'!$D$65</definedName>
    <definedName name="OSRRefD22_11x_0" localSheetId="43">'203'!$D$64:$D$66</definedName>
    <definedName name="OSRRefD22_11x_0" localSheetId="44">'204'!$D$65</definedName>
    <definedName name="OSRRefD22_11x_0" localSheetId="48">'300'!$D$169:$D$171</definedName>
    <definedName name="OSRRefD22_11x_0" localSheetId="49">'300 &amp; 317'!$D$192:$D$194</definedName>
    <definedName name="OSRRefD22_11x_0" localSheetId="50">'301'!$D$62</definedName>
    <definedName name="OSRRefD22_11x_0" localSheetId="52">'307'!$D$80:$D$83</definedName>
    <definedName name="OSRRefD22_11x_0" localSheetId="53">'308'!$D$104:$D$106</definedName>
    <definedName name="OSRRefD22_11x_0" localSheetId="63">'310'!$D$71</definedName>
    <definedName name="OSRRefD22_11x_0" localSheetId="71">'310 &amp; 491'!$D$77</definedName>
    <definedName name="OSRRefD22_11x_0" localSheetId="54">'311'!$D$103:$D$105</definedName>
    <definedName name="OSRRefD22_11x_0" localSheetId="65">'313'!$D$70</definedName>
    <definedName name="OSRRefD22_11x_0" localSheetId="57">'315'!$D$122</definedName>
    <definedName name="OSRRefD22_11x_0" localSheetId="60">'316'!$D$77</definedName>
    <definedName name="OSRRefD22_11x_0" localSheetId="62">'317'!$D$97</definedName>
    <definedName name="OSRRefD22_11x_0" localSheetId="66">'321'!$D$70:$D$71</definedName>
    <definedName name="OSRRefD22_11x_0" localSheetId="67">'322'!$D$66</definedName>
    <definedName name="OSRRefD22_11x_0" localSheetId="68">'325'!$D$64:$D$67</definedName>
    <definedName name="OSRRefD22_11x_0" localSheetId="58">'326'!$D$88</definedName>
    <definedName name="OSRRefD22_11x_0" localSheetId="51">'330'!$D$84:$D$87</definedName>
    <definedName name="OSRRefD22_11x_0" localSheetId="56">'331'!$D$123:$D$124</definedName>
    <definedName name="OSRRefD22_11x_0" localSheetId="59">'332'!$D$79</definedName>
    <definedName name="OSRRefD22_11x_0" localSheetId="73">'405'!$D$64:$D$67</definedName>
    <definedName name="OSRRefD22_11x_0" localSheetId="75">'411'!$D$66:$D$67</definedName>
    <definedName name="OSRRefD22_11x_0" localSheetId="76">'412'!$D$65:$D$69</definedName>
    <definedName name="OSRRefD22_11x_0" localSheetId="77">'413'!$D$73:$D$74</definedName>
    <definedName name="OSRRefD22_11x_0" localSheetId="78">'414'!$D$65</definedName>
    <definedName name="OSRRefD22_11x_0" localSheetId="79">'415'!$D$67:$D$68</definedName>
    <definedName name="OSRRefD22_11x_0" localSheetId="80">'418'!$D$67:$D$76</definedName>
    <definedName name="OSRRefD22_11x_0" localSheetId="88">'433'!$D$67:$D$69</definedName>
    <definedName name="OSRRefD22_11x_0" localSheetId="90">'444'!$D$67:$D$70</definedName>
    <definedName name="OSRRefD22_11x_0" localSheetId="91">'450'!$D$63</definedName>
    <definedName name="OSRRefD22_11x_0" localSheetId="72">'491'!$D$70</definedName>
    <definedName name="OSRRefD22_11x_0" localSheetId="86">'492'!$D$67</definedName>
    <definedName name="OSRRefD22_11x_0" localSheetId="93">'501'!$D$66</definedName>
    <definedName name="OSRRefD22_11x_0" localSheetId="39">'Div 2'!$D$65:$D$66</definedName>
    <definedName name="OSRRefD22_11x_0" localSheetId="47">'Div 3'!$D$173:$D$175</definedName>
    <definedName name="OSRRefD22_11x_0" localSheetId="70">'Div 4'!$D$73</definedName>
    <definedName name="OSRRefD22_11x_0" localSheetId="92">'Div 5'!$D$66</definedName>
    <definedName name="OSRRefD22_11x_0" localSheetId="61">'Div 6'!$D$97</definedName>
    <definedName name="OSRRefD22_11x_0" localSheetId="2">Summary!$D$202:$D$204</definedName>
    <definedName name="OSRRefD22_12x_0" localSheetId="41">'201'!$D$66</definedName>
    <definedName name="OSRRefD22_12x_0" localSheetId="42">'202'!$D$67</definedName>
    <definedName name="OSRRefD22_12x_0" localSheetId="43">'203'!$D$68</definedName>
    <definedName name="OSRRefD22_12x_0" localSheetId="44">'204'!$D$67</definedName>
    <definedName name="OSRRefD22_12x_0" localSheetId="48">'300'!$D$173</definedName>
    <definedName name="OSRRefD22_12x_0" localSheetId="49">'300 &amp; 317'!$D$196</definedName>
    <definedName name="OSRRefD22_12x_0" localSheetId="50">'301'!$D$64</definedName>
    <definedName name="OSRRefD22_12x_0" localSheetId="52">'307'!$D$85:$D$86</definedName>
    <definedName name="OSRRefD22_12x_0" localSheetId="53">'308'!$D$108:$D$109</definedName>
    <definedName name="OSRRefD22_12x_0" localSheetId="63">'310'!$D$73</definedName>
    <definedName name="OSRRefD22_12x_0" localSheetId="71">'310 &amp; 491'!$D$79</definedName>
    <definedName name="OSRRefD22_12x_0" localSheetId="54">'311'!$D$107:$D$108</definedName>
    <definedName name="OSRRefD22_12x_0" localSheetId="57">'315'!$D$124:$D$126</definedName>
    <definedName name="OSRRefD22_12x_0" localSheetId="62">'317'!$D$99</definedName>
    <definedName name="OSRRefD22_12x_0" localSheetId="66">'321'!$D$73</definedName>
    <definedName name="OSRRefD22_12x_0" localSheetId="68">'325'!$D$69:$D$71</definedName>
    <definedName name="OSRRefD22_12x_0" localSheetId="58">'326'!$D$90</definedName>
    <definedName name="OSRRefD22_12x_0" localSheetId="51">'330'!$D$89:$D$90</definedName>
    <definedName name="OSRRefD22_12x_0" localSheetId="56">'331'!$D$126</definedName>
    <definedName name="OSRRefD22_12x_0" localSheetId="73">'405'!$D$69</definedName>
    <definedName name="OSRRefD22_12x_0" localSheetId="75">'411'!$D$69:$D$75</definedName>
    <definedName name="OSRRefD22_12x_0" localSheetId="76">'412'!$D$71:$D$72</definedName>
    <definedName name="OSRRefD22_12x_0" localSheetId="77">'413'!$D$76</definedName>
    <definedName name="OSRRefD22_12x_0" localSheetId="78">'414'!$D$67:$D$69</definedName>
    <definedName name="OSRRefD22_12x_0" localSheetId="79">'415'!$D$70:$D$74</definedName>
    <definedName name="OSRRefD22_12x_0" localSheetId="80">'418'!$D$78:$D$79</definedName>
    <definedName name="OSRRefD22_12x_0" localSheetId="88">'433'!$D$71:$D$74</definedName>
    <definedName name="OSRRefD22_12x_0" localSheetId="90">'444'!$D$72:$D$75</definedName>
    <definedName name="OSRRefD22_12x_0" localSheetId="91">'450'!$D$65</definedName>
    <definedName name="OSRRefD22_12x_0" localSheetId="72">'491'!$D$72</definedName>
    <definedName name="OSRRefD22_12x_0" localSheetId="86">'492'!$D$69:$D$72</definedName>
    <definedName name="OSRRefD22_12x_0" localSheetId="93">'501'!$D$68</definedName>
    <definedName name="OSRRefD22_12x_0" localSheetId="39">'Div 2'!$D$68:$D$71</definedName>
    <definedName name="OSRRefD22_12x_0" localSheetId="47">'Div 3'!$D$177</definedName>
    <definedName name="OSRRefD22_12x_0" localSheetId="70">'Div 4'!$D$75</definedName>
    <definedName name="OSRRefD22_12x_0" localSheetId="92">'Div 5'!$D$68</definedName>
    <definedName name="OSRRefD22_12x_0" localSheetId="61">'Div 6'!$D$99</definedName>
    <definedName name="OSRRefD22_12x_0" localSheetId="2">Summary!$D$206</definedName>
    <definedName name="OSRRefD22_13x_0" localSheetId="41">'201'!$D$68:$D$70</definedName>
    <definedName name="OSRRefD22_13x_0" localSheetId="43">'203'!$D$70</definedName>
    <definedName name="OSRRefD22_13x_0" localSheetId="48">'300'!$D$175:$D$176</definedName>
    <definedName name="OSRRefD22_13x_0" localSheetId="49">'300 &amp; 317'!$D$198:$D$199</definedName>
    <definedName name="OSRRefD22_13x_0" localSheetId="50">'301'!$D$66</definedName>
    <definedName name="OSRRefD22_13x_0" localSheetId="52">'307'!$D$88</definedName>
    <definedName name="OSRRefD22_13x_0" localSheetId="53">'308'!$D$111</definedName>
    <definedName name="OSRRefD22_13x_0" localSheetId="63">'310'!$D$75:$D$78</definedName>
    <definedName name="OSRRefD22_13x_0" localSheetId="71">'310 &amp; 491'!$D$81:$D$84</definedName>
    <definedName name="OSRRefD22_13x_0" localSheetId="54">'311'!$D$110</definedName>
    <definedName name="OSRRefD22_13x_0" localSheetId="57">'315'!$D$128:$D$129</definedName>
    <definedName name="OSRRefD22_13x_0" localSheetId="66">'321'!$D$75</definedName>
    <definedName name="OSRRefD22_13x_0" localSheetId="68">'325'!$D$73</definedName>
    <definedName name="OSRRefD22_13x_0" localSheetId="58">'326'!$D$92:$D$94</definedName>
    <definedName name="OSRRefD22_13x_0" localSheetId="51">'330'!$D$92</definedName>
    <definedName name="OSRRefD22_13x_0" localSheetId="56">'331'!$D$128</definedName>
    <definedName name="OSRRefD22_13x_0" localSheetId="73">'405'!$D$71:$D$79</definedName>
    <definedName name="OSRRefD22_13x_0" localSheetId="75">'411'!$D$77</definedName>
    <definedName name="OSRRefD22_13x_0" localSheetId="76">'412'!$D$74</definedName>
    <definedName name="OSRRefD22_13x_0" localSheetId="78">'414'!$D$71</definedName>
    <definedName name="OSRRefD22_13x_0" localSheetId="79">'415'!$D$76</definedName>
    <definedName name="OSRRefD22_13x_0" localSheetId="80">'418'!$D$81</definedName>
    <definedName name="OSRRefD22_13x_0" localSheetId="88">'433'!$D$76:$D$83</definedName>
    <definedName name="OSRRefD22_13x_0" localSheetId="90">'444'!$D$77</definedName>
    <definedName name="OSRRefD22_13x_0" localSheetId="91">'450'!$D$67:$D$69</definedName>
    <definedName name="OSRRefD22_13x_0" localSheetId="72">'491'!$D$74:$D$77</definedName>
    <definedName name="OSRRefD22_13x_0" localSheetId="86">'492'!$D$74:$D$77</definedName>
    <definedName name="OSRRefD22_13x_0" localSheetId="39">'Div 2'!$D$73:$D$76</definedName>
    <definedName name="OSRRefD22_13x_0" localSheetId="47">'Div 3'!$D$179</definedName>
    <definedName name="OSRRefD22_13x_0" localSheetId="70">'Div 4'!$D$77</definedName>
    <definedName name="OSRRefD22_13x_0" localSheetId="2">Summary!$D$208</definedName>
    <definedName name="OSRRefD22_14x_0" localSheetId="41">'201'!$D$72</definedName>
    <definedName name="OSRRefD22_14x_0" localSheetId="43">'203'!$D$72</definedName>
    <definedName name="OSRRefD22_14x_0" localSheetId="48">'300'!$D$178</definedName>
    <definedName name="OSRRefD22_14x_0" localSheetId="49">'300 &amp; 317'!$D$201</definedName>
    <definedName name="OSRRefD22_14x_0" localSheetId="50">'301'!$D$68:$D$71</definedName>
    <definedName name="OSRRefD22_14x_0" localSheetId="53">'308'!$D$113</definedName>
    <definedName name="OSRRefD22_14x_0" localSheetId="63">'310'!$D$80:$D$81</definedName>
    <definedName name="OSRRefD22_14x_0" localSheetId="71">'310 &amp; 491'!$D$86:$D$87</definedName>
    <definedName name="OSRRefD22_14x_0" localSheetId="54">'311'!$D$112</definedName>
    <definedName name="OSRRefD22_14x_0" localSheetId="57">'315'!$D$131:$D$137</definedName>
    <definedName name="OSRRefD22_14x_0" localSheetId="68">'325'!$D$75:$D$79</definedName>
    <definedName name="OSRRefD22_14x_0" localSheetId="58">'326'!$D$96:$D$98</definedName>
    <definedName name="OSRRefD22_14x_0" localSheetId="56">'331'!$D$130:$D$132</definedName>
    <definedName name="OSRRefD22_14x_0" localSheetId="73">'405'!$D$81</definedName>
    <definedName name="OSRRefD22_14x_0" localSheetId="75">'411'!$D$79</definedName>
    <definedName name="OSRRefD22_14x_0" localSheetId="78">'414'!$D$73</definedName>
    <definedName name="OSRRefD22_14x_0" localSheetId="79">'415'!$D$78:$D$85</definedName>
    <definedName name="OSRRefD22_14x_0" localSheetId="88">'433'!$D$85</definedName>
    <definedName name="OSRRefD22_14x_0" localSheetId="90">'444'!$D$79:$D$87</definedName>
    <definedName name="OSRRefD22_14x_0" localSheetId="91">'450'!$D$71:$D$77</definedName>
    <definedName name="OSRRefD22_14x_0" localSheetId="72">'491'!$D$79:$D$80</definedName>
    <definedName name="OSRRefD22_14x_0" localSheetId="86">'492'!$D$79</definedName>
    <definedName name="OSRRefD22_14x_0" localSheetId="39">'Div 2'!$D$78:$D$79</definedName>
    <definedName name="OSRRefD22_14x_0" localSheetId="47">'Div 3'!$D$181:$D$182</definedName>
    <definedName name="OSRRefD22_14x_0" localSheetId="70">'Div 4'!$D$79</definedName>
    <definedName name="OSRRefD22_14x_0" localSheetId="2">Summary!$D$210:$D$211</definedName>
    <definedName name="OSRRefD22_15x_0" localSheetId="41">'201'!$D$74</definedName>
    <definedName name="OSRRefD22_15x_0" localSheetId="48">'300'!$D$180</definedName>
    <definedName name="OSRRefD22_15x_0" localSheetId="49">'300 &amp; 317'!$D$203</definedName>
    <definedName name="OSRRefD22_15x_0" localSheetId="50">'301'!$D$73:$D$75</definedName>
    <definedName name="OSRRefD22_15x_0" localSheetId="63">'310'!$D$83:$D$86</definedName>
    <definedName name="OSRRefD22_15x_0" localSheetId="71">'310 &amp; 491'!$D$89:$D$93</definedName>
    <definedName name="OSRRefD22_15x_0" localSheetId="57">'315'!$D$139</definedName>
    <definedName name="OSRRefD22_15x_0" localSheetId="68">'325'!$D$81:$D$82</definedName>
    <definedName name="OSRRefD22_15x_0" localSheetId="58">'326'!$D$100:$D$101</definedName>
    <definedName name="OSRRefD22_15x_0" localSheetId="56">'331'!$D$134:$D$136</definedName>
    <definedName name="OSRRefD22_15x_0" localSheetId="73">'405'!$D$83</definedName>
    <definedName name="OSRRefD22_15x_0" localSheetId="75">'411'!$D$81</definedName>
    <definedName name="OSRRefD22_15x_0" localSheetId="78">'414'!$D$75</definedName>
    <definedName name="OSRRefD22_15x_0" localSheetId="79">'415'!$D$87:$D$88</definedName>
    <definedName name="OSRRefD22_15x_0" localSheetId="88">'433'!$D$87</definedName>
    <definedName name="OSRRefD22_15x_0" localSheetId="90">'444'!$D$89:$D$90</definedName>
    <definedName name="OSRRefD22_15x_0" localSheetId="91">'450'!$D$79:$D$80</definedName>
    <definedName name="OSRRefD22_15x_0" localSheetId="72">'491'!$D$82:$D$86</definedName>
    <definedName name="OSRRefD22_15x_0" localSheetId="86">'492'!$D$81:$D$90</definedName>
    <definedName name="OSRRefD22_15x_0" localSheetId="39">'Div 2'!$D$81:$D$82</definedName>
    <definedName name="OSRRefD22_15x_0" localSheetId="47">'Div 3'!$D$184</definedName>
    <definedName name="OSRRefD22_15x_0" localSheetId="70">'Div 4'!$D$81:$D$84</definedName>
    <definedName name="OSRRefD22_15x_0" localSheetId="2">Summary!$D$213</definedName>
    <definedName name="OSRRefD22_16x_0" localSheetId="41">'201'!$D$76</definedName>
    <definedName name="OSRRefD22_16x_0" localSheetId="48">'300'!$D$182:$D$185</definedName>
    <definedName name="OSRRefD22_16x_0" localSheetId="49">'300 &amp; 317'!$D$205:$D$208</definedName>
    <definedName name="OSRRefD22_16x_0" localSheetId="50">'301'!$D$77</definedName>
    <definedName name="OSRRefD22_16x_0" localSheetId="63">'310'!$D$88</definedName>
    <definedName name="OSRRefD22_16x_0" localSheetId="71">'310 &amp; 491'!$D$95:$D$96</definedName>
    <definedName name="OSRRefD22_16x_0" localSheetId="57">'315'!$D$141</definedName>
    <definedName name="OSRRefD22_16x_0" localSheetId="68">'325'!$D$84</definedName>
    <definedName name="OSRRefD22_16x_0" localSheetId="58">'326'!$D$103:$D$108</definedName>
    <definedName name="OSRRefD22_16x_0" localSheetId="56">'331'!$D$138:$D$140</definedName>
    <definedName name="OSRRefD22_16x_0" localSheetId="73">'405'!$D$85</definedName>
    <definedName name="OSRRefD22_16x_0" localSheetId="79">'415'!$D$90</definedName>
    <definedName name="OSRRefD22_16x_0" localSheetId="90">'444'!$D$92</definedName>
    <definedName name="OSRRefD22_16x_0" localSheetId="91">'450'!$D$82</definedName>
    <definedName name="OSRRefD22_16x_0" localSheetId="72">'491'!$D$88:$D$89</definedName>
    <definedName name="OSRRefD22_16x_0" localSheetId="86">'492'!$D$92:$D$93</definedName>
    <definedName name="OSRRefD22_16x_0" localSheetId="39">'Div 2'!$D$84:$D$88</definedName>
    <definedName name="OSRRefD22_16x_0" localSheetId="47">'Div 3'!$D$186</definedName>
    <definedName name="OSRRefD22_16x_0" localSheetId="70">'Div 4'!$D$86:$D$87</definedName>
    <definedName name="OSRRefD22_16x_0" localSheetId="2">Summary!$D$215</definedName>
    <definedName name="OSRRefD22_17x_0" localSheetId="48">'300'!$D$187:$D$190</definedName>
    <definedName name="OSRRefD22_17x_0" localSheetId="49">'300 &amp; 317'!$D$210:$D$213</definedName>
    <definedName name="OSRRefD22_17x_0" localSheetId="50">'301'!$D$79:$D$85</definedName>
    <definedName name="OSRRefD22_17x_0" localSheetId="63">'310'!$D$90:$D$96</definedName>
    <definedName name="OSRRefD22_17x_0" localSheetId="71">'310 &amp; 491'!$D$98:$D$108</definedName>
    <definedName name="OSRRefD22_17x_0" localSheetId="57">'315'!$D$143:$D$144</definedName>
    <definedName name="OSRRefD22_17x_0" localSheetId="68">'325'!$D$86</definedName>
    <definedName name="OSRRefD22_17x_0" localSheetId="58">'326'!$D$110:$D$111</definedName>
    <definedName name="OSRRefD22_17x_0" localSheetId="56">'331'!$D$142:$D$143</definedName>
    <definedName name="OSRRefD22_17x_0" localSheetId="73">'405'!$D$87</definedName>
    <definedName name="OSRRefD22_17x_0" localSheetId="79">'415'!$D$92:$D$93</definedName>
    <definedName name="OSRRefD22_17x_0" localSheetId="72">'491'!$D$91:$D$101</definedName>
    <definedName name="OSRRefD22_17x_0" localSheetId="86">'492'!$D$95</definedName>
    <definedName name="OSRRefD22_17x_0" localSheetId="39">'Div 2'!$D$90:$D$91</definedName>
    <definedName name="OSRRefD22_17x_0" localSheetId="47">'Div 3'!$D$188:$D$191</definedName>
    <definedName name="OSRRefD22_17x_0" localSheetId="70">'Div 4'!$D$89:$D$93</definedName>
    <definedName name="OSRRefD22_17x_0" localSheetId="2">Summary!$D$217</definedName>
    <definedName name="OSRRefD22_18x_0" localSheetId="48">'300'!$D$192:$D$195</definedName>
    <definedName name="OSRRefD22_18x_0" localSheetId="49">'300 &amp; 317'!$D$215:$D$218</definedName>
    <definedName name="OSRRefD22_18x_0" localSheetId="50">'301'!$D$87</definedName>
    <definedName name="OSRRefD22_18x_0" localSheetId="63">'310'!$D$98:$D$99</definedName>
    <definedName name="OSRRefD22_18x_0" localSheetId="71">'310 &amp; 491'!$D$110:$D$111</definedName>
    <definedName name="OSRRefD22_18x_0" localSheetId="58">'326'!$D$113</definedName>
    <definedName name="OSRRefD22_18x_0" localSheetId="56">'331'!$D$145:$D$152</definedName>
    <definedName name="OSRRefD22_18x_0" localSheetId="79">'415'!$D$95</definedName>
    <definedName name="OSRRefD22_18x_0" localSheetId="72">'491'!$D$103:$D$104</definedName>
    <definedName name="OSRRefD22_18x_0" localSheetId="86">'492'!$D$97</definedName>
    <definedName name="OSRRefD22_18x_0" localSheetId="39">'Div 2'!$D$93</definedName>
    <definedName name="OSRRefD22_18x_0" localSheetId="47">'Div 3'!$D$193:$D$196</definedName>
    <definedName name="OSRRefD22_18x_0" localSheetId="70">'Div 4'!$D$95:$D$96</definedName>
    <definedName name="OSRRefD22_18x_0" localSheetId="2">Summary!$D$219:$D$222</definedName>
    <definedName name="OSRRefD22_19x_0" localSheetId="48">'300'!$D$197:$D$198</definedName>
    <definedName name="OSRRefD22_19x_0" localSheetId="49">'300 &amp; 317'!$D$220:$D$221</definedName>
    <definedName name="OSRRefD22_19x_0" localSheetId="50">'301'!$D$89</definedName>
    <definedName name="OSRRefD22_19x_0" localSheetId="63">'310'!$D$101</definedName>
    <definedName name="OSRRefD22_19x_0" localSheetId="71">'310 &amp; 491'!$D$113</definedName>
    <definedName name="OSRRefD22_19x_0" localSheetId="58">'326'!$D$115:$D$116</definedName>
    <definedName name="OSRRefD22_19x_0" localSheetId="56">'331'!$D$154:$D$155</definedName>
    <definedName name="OSRRefD22_19x_0" localSheetId="72">'491'!$D$106</definedName>
    <definedName name="OSRRefD22_19x_0" localSheetId="39">'Div 2'!$D$95:$D$96</definedName>
    <definedName name="OSRRefD22_19x_0" localSheetId="47">'Div 3'!$D$198:$D$202</definedName>
    <definedName name="OSRRefD22_19x_0" localSheetId="70">'Div 4'!$D$98:$D$108</definedName>
    <definedName name="OSRRefD22_19x_0" localSheetId="2">Summary!$D$224:$D$227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'300'!$D$135:$D$144</definedName>
    <definedName name="OSRRefD22_1x_0" localSheetId="49">'300 &amp; 317'!$D$158:$D$167</definedName>
    <definedName name="OSRRefD22_1x_0" localSheetId="50">'301'!$D$31:$D$40</definedName>
    <definedName name="OSRRefD22_1x_0" localSheetId="52">'307'!$D$48:$D$57</definedName>
    <definedName name="OSRRefD22_1x_0" localSheetId="53">'308'!$D$70:$D$79</definedName>
    <definedName name="OSRRefD22_1x_0" localSheetId="64">'309'!$D$31:$D$40</definedName>
    <definedName name="OSRRefD22_1x_0" localSheetId="63">'310'!$D$41:$D$50</definedName>
    <definedName name="OSRRefD22_1x_0" localSheetId="71">'310 &amp; 491'!$D$45:$D$54</definedName>
    <definedName name="OSRRefD22_1x_0" localSheetId="54">'311'!$D$69:$D$78</definedName>
    <definedName name="OSRRefD22_1x_0" localSheetId="65">'313'!$D$37:$D$46</definedName>
    <definedName name="OSRRefD22_1x_0" localSheetId="57">'315'!$D$91:$D$100</definedName>
    <definedName name="OSRRefD22_1x_0" localSheetId="60">'316'!$D$42:$D$51</definedName>
    <definedName name="OSRRefD22_1x_0" localSheetId="62">'317'!$D$63:$D$72</definedName>
    <definedName name="OSRRefD22_1x_0" localSheetId="66">'321'!$D$36:$D$45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'326'!$D$58:$D$67</definedName>
    <definedName name="OSRRefD22_1x_0" localSheetId="51">'330'!$D$52:$D$61</definedName>
    <definedName name="OSRRefD22_1x_0" localSheetId="56">'331'!$D$92:$D$101</definedName>
    <definedName name="OSRRefD22_1x_0" localSheetId="59">'332'!$D$44:$D$53</definedName>
    <definedName name="OSRRefD22_1x_0" localSheetId="73">'405'!$D$33:$D$42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7">'413'!$D$33:$D$42</definedName>
    <definedName name="OSRRefD22_1x_0" localSheetId="78">'414'!$D$35:$D$44</definedName>
    <definedName name="OSRRefD22_1x_0" localSheetId="79">'415'!$D$37:$D$46</definedName>
    <definedName name="OSRRefD22_1x_0" localSheetId="80">'418'!$D$33:$D$42</definedName>
    <definedName name="OSRRefD22_1x_0" localSheetId="81">'420'!$D$23</definedName>
    <definedName name="OSRRefD22_1x_0" localSheetId="82">'423'!$D$29:$D$38</definedName>
    <definedName name="OSRRefD22_1x_0" localSheetId="83">'424'!$D$22</definedName>
    <definedName name="OSRRefD22_1x_0" localSheetId="84">'425'!$D$27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'450'!$D$34:$D$43</definedName>
    <definedName name="OSRRefD22_1x_0" localSheetId="72">'491'!$D$39:$D$48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3'!$D$139:$D$148</definedName>
    <definedName name="OSRRefD22_1x_0" localSheetId="70">'Div 4'!$D$42:$D$51</definedName>
    <definedName name="OSRRefD22_1x_0" localSheetId="92">'Div 5'!$D$32:$D$41</definedName>
    <definedName name="OSRRefD22_1x_0" localSheetId="61">'Div 6'!$D$63:$D$72</definedName>
    <definedName name="OSRRefD22_1x_0" localSheetId="2">Summary!$D$167:$D$176</definedName>
    <definedName name="OSRRefD22_20x_0" localSheetId="48">'300'!$D$200:$D$208</definedName>
    <definedName name="OSRRefD22_20x_0" localSheetId="49">'300 &amp; 317'!$D$223:$D$231</definedName>
    <definedName name="OSRRefD22_20x_0" localSheetId="50">'301'!$D$91:$D$92</definedName>
    <definedName name="OSRRefD22_20x_0" localSheetId="63">'310'!$D$103</definedName>
    <definedName name="OSRRefD22_20x_0" localSheetId="71">'310 &amp; 491'!$D$115:$D$117</definedName>
    <definedName name="OSRRefD22_20x_0" localSheetId="58">'326'!$D$118</definedName>
    <definedName name="OSRRefD22_20x_0" localSheetId="56">'331'!$D$157</definedName>
    <definedName name="OSRRefD22_20x_0" localSheetId="72">'491'!$D$108:$D$110</definedName>
    <definedName name="OSRRefD22_20x_0" localSheetId="47">'Div 3'!$D$204:$D$205</definedName>
    <definedName name="OSRRefD22_20x_0" localSheetId="70">'Div 4'!$D$110:$D$111</definedName>
    <definedName name="OSRRefD22_20x_0" localSheetId="2">Summary!$D$229:$D$233</definedName>
    <definedName name="OSRRefD22_21x_0" localSheetId="48">'300'!$D$210:$D$211</definedName>
    <definedName name="OSRRefD22_21x_0" localSheetId="49">'300 &amp; 317'!$D$233:$D$234</definedName>
    <definedName name="OSRRefD22_21x_0" localSheetId="50">'301'!$D$94</definedName>
    <definedName name="OSRRefD22_21x_0" localSheetId="63">'310'!$D$105</definedName>
    <definedName name="OSRRefD22_21x_0" localSheetId="71">'310 &amp; 491'!$D$119</definedName>
    <definedName name="OSRRefD22_21x_0" localSheetId="56">'331'!$D$159:$D$160</definedName>
    <definedName name="OSRRefD22_21x_0" localSheetId="72">'491'!$D$112</definedName>
    <definedName name="OSRRefD22_21x_0" localSheetId="47">'Div 3'!$D$207:$D$215</definedName>
    <definedName name="OSRRefD22_21x_0" localSheetId="70">'Div 4'!$D$113</definedName>
    <definedName name="OSRRefD22_21x_0" localSheetId="2">Summary!$D$235:$D$236</definedName>
    <definedName name="OSRRefD22_22x_0" localSheetId="48">'300'!$D$213</definedName>
    <definedName name="OSRRefD22_22x_0" localSheetId="49">'300 &amp; 317'!$D$236</definedName>
    <definedName name="OSRRefD22_22x_0" localSheetId="56">'331'!$D$162</definedName>
    <definedName name="OSRRefD22_22x_0" localSheetId="47">'Div 3'!$D$217:$D$218</definedName>
    <definedName name="OSRRefD22_22x_0" localSheetId="70">'Div 4'!$D$115:$D$117</definedName>
    <definedName name="OSRRefD22_22x_0" localSheetId="2">Summary!$D$238:$D$248</definedName>
    <definedName name="OSRRefD22_23x_0" localSheetId="48">'300'!$D$215:$D$217</definedName>
    <definedName name="OSRRefD22_23x_0" localSheetId="49">'300 &amp; 317'!$D$238:$D$240</definedName>
    <definedName name="OSRRefD22_23x_0" localSheetId="47">'Div 3'!$D$220</definedName>
    <definedName name="OSRRefD22_23x_0" localSheetId="70">'Div 4'!$D$119</definedName>
    <definedName name="OSRRefD22_23x_0" localSheetId="2">Summary!$D$250:$D$251</definedName>
    <definedName name="OSRRefD22_24x_0" localSheetId="48">'300'!$D$219</definedName>
    <definedName name="OSRRefD22_24x_0" localSheetId="49">'300 &amp; 317'!$D$242</definedName>
    <definedName name="OSRRefD22_24x_0" localSheetId="47">'Div 3'!$D$222:$D$224</definedName>
    <definedName name="OSRRefD22_24x_0" localSheetId="2">Summary!$D$253</definedName>
    <definedName name="OSRRefD22_25x_0" localSheetId="47">'Div 3'!$D$226</definedName>
    <definedName name="OSRRefD22_25x_0" localSheetId="2">Summary!$D$255:$D$257</definedName>
    <definedName name="OSRRefD22_26x_0" localSheetId="2">Summary!$D$259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'300'!$D$146</definedName>
    <definedName name="OSRRefD22_2x_0" localSheetId="49">'300 &amp; 317'!$D$169</definedName>
    <definedName name="OSRRefD22_2x_0" localSheetId="50">'301'!$D$42</definedName>
    <definedName name="OSRRefD22_2x_0" localSheetId="52">'307'!$D$59</definedName>
    <definedName name="OSRRefD22_2x_0" localSheetId="53">'308'!$D$81</definedName>
    <definedName name="OSRRefD22_2x_0" localSheetId="64">'309'!$D$42</definedName>
    <definedName name="OSRRefD22_2x_0" localSheetId="63">'310'!$D$52</definedName>
    <definedName name="OSRRefD22_2x_0" localSheetId="71">'310 &amp; 491'!$D$56</definedName>
    <definedName name="OSRRefD22_2x_0" localSheetId="54">'311'!$D$80</definedName>
    <definedName name="OSRRefD22_2x_0" localSheetId="65">'313'!$D$48</definedName>
    <definedName name="OSRRefD22_2x_0" localSheetId="57">'315'!$D$102</definedName>
    <definedName name="OSRRefD22_2x_0" localSheetId="60">'316'!$D$53</definedName>
    <definedName name="OSRRefD22_2x_0" localSheetId="62">'317'!$D$74</definedName>
    <definedName name="OSRRefD22_2x_0" localSheetId="66">'321'!$D$47</definedName>
    <definedName name="OSRRefD22_2x_0" localSheetId="67">'322'!$D$43</definedName>
    <definedName name="OSRRefD22_2x_0" localSheetId="68">'325'!$D$45</definedName>
    <definedName name="OSRRefD22_2x_0" localSheetId="58">'326'!$D$69</definedName>
    <definedName name="OSRRefD22_2x_0" localSheetId="51">'330'!$D$63</definedName>
    <definedName name="OSRRefD22_2x_0" localSheetId="56">'331'!$D$103</definedName>
    <definedName name="OSRRefD22_2x_0" localSheetId="59">'332'!$D$55</definedName>
    <definedName name="OSRRefD22_2x_0" localSheetId="73">'405'!$D$44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7">'413'!$D$44</definedName>
    <definedName name="OSRRefD22_2x_0" localSheetId="78">'414'!$D$46</definedName>
    <definedName name="OSRRefD22_2x_0" localSheetId="79">'415'!$D$48</definedName>
    <definedName name="OSRRefD22_2x_0" localSheetId="80">'418'!$D$44</definedName>
    <definedName name="OSRRefD22_2x_0" localSheetId="82">'423'!$D$40</definedName>
    <definedName name="OSRRefD22_2x_0" localSheetId="83">'424'!$D$24</definedName>
    <definedName name="OSRRefD22_2x_0" localSheetId="84">'425'!$D$29</definedName>
    <definedName name="OSRRefD22_2x_0" localSheetId="87">'430'!$D$41</definedName>
    <definedName name="OSRRefD22_2x_0" localSheetId="88">'433'!$D$49</definedName>
    <definedName name="OSRRefD22_2x_0" localSheetId="90">'444'!$D$49</definedName>
    <definedName name="OSRRefD22_2x_0" localSheetId="91">'450'!$D$45</definedName>
    <definedName name="OSRRefD22_2x_0" localSheetId="72">'491'!$D$50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3'!$D$150</definedName>
    <definedName name="OSRRefD22_2x_0" localSheetId="70">'Div 4'!$D$53</definedName>
    <definedName name="OSRRefD22_2x_0" localSheetId="92">'Div 5'!$D$43</definedName>
    <definedName name="OSRRefD22_2x_0" localSheetId="61">'Div 6'!$D$74</definedName>
    <definedName name="OSRRefD22_2x_0" localSheetId="2">Summary!$D$178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'300'!$D$148:$D$149</definedName>
    <definedName name="OSRRefD22_3x_0" localSheetId="49">'300 &amp; 317'!$D$171:$D$172</definedName>
    <definedName name="OSRRefD22_3x_0" localSheetId="50">'301'!$D$44:$D$45</definedName>
    <definedName name="OSRRefD22_3x_0" localSheetId="52">'307'!$D$61</definedName>
    <definedName name="OSRRefD22_3x_0" localSheetId="53">'308'!$D$83:$D$84</definedName>
    <definedName name="OSRRefD22_3x_0" localSheetId="64">'309'!$D$44</definedName>
    <definedName name="OSRRefD22_3x_0" localSheetId="63">'310'!$D$54</definedName>
    <definedName name="OSRRefD22_3x_0" localSheetId="71">'310 &amp; 491'!$D$58</definedName>
    <definedName name="OSRRefD22_3x_0" localSheetId="54">'311'!$D$82:$D$83</definedName>
    <definedName name="OSRRefD22_3x_0" localSheetId="65">'313'!$D$50</definedName>
    <definedName name="OSRRefD22_3x_0" localSheetId="57">'315'!$D$104</definedName>
    <definedName name="OSRRefD22_3x_0" localSheetId="60">'316'!$D$55</definedName>
    <definedName name="OSRRefD22_3x_0" localSheetId="62">'317'!$D$76</definedName>
    <definedName name="OSRRefD22_3x_0" localSheetId="66">'321'!$D$49</definedName>
    <definedName name="OSRRefD22_3x_0" localSheetId="67">'322'!$D$45</definedName>
    <definedName name="OSRRefD22_3x_0" localSheetId="68">'325'!$D$47</definedName>
    <definedName name="OSRRefD22_3x_0" localSheetId="58">'326'!$D$71</definedName>
    <definedName name="OSRRefD22_3x_0" localSheetId="51">'330'!$D$65</definedName>
    <definedName name="OSRRefD22_3x_0" localSheetId="56">'331'!$D$105</definedName>
    <definedName name="OSRRefD22_3x_0" localSheetId="59">'332'!$D$57</definedName>
    <definedName name="OSRRefD22_3x_0" localSheetId="73">'405'!$D$46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7">'413'!$D$46</definedName>
    <definedName name="OSRRefD22_3x_0" localSheetId="78">'414'!$D$48</definedName>
    <definedName name="OSRRefD22_3x_0" localSheetId="79">'415'!$D$50</definedName>
    <definedName name="OSRRefD22_3x_0" localSheetId="80">'418'!$D$46</definedName>
    <definedName name="OSRRefD22_3x_0" localSheetId="82">'423'!$D$42:$D$43</definedName>
    <definedName name="OSRRefD22_3x_0" localSheetId="83">'424'!$D$26</definedName>
    <definedName name="OSRRefD22_3x_0" localSheetId="84">'425'!$D$31</definedName>
    <definedName name="OSRRefD22_3x_0" localSheetId="87">'430'!$D$43</definedName>
    <definedName name="OSRRefD22_3x_0" localSheetId="88">'433'!$D$51</definedName>
    <definedName name="OSRRefD22_3x_0" localSheetId="90">'444'!$D$51</definedName>
    <definedName name="OSRRefD22_3x_0" localSheetId="91">'450'!$D$47</definedName>
    <definedName name="OSRRefD22_3x_0" localSheetId="72">'491'!$D$52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3'!$D$152:$D$153</definedName>
    <definedName name="OSRRefD22_3x_0" localSheetId="70">'Div 4'!$D$55</definedName>
    <definedName name="OSRRefD22_3x_0" localSheetId="92">'Div 5'!$D$45</definedName>
    <definedName name="OSRRefD22_3x_0" localSheetId="61">'Div 6'!$D$76</definedName>
    <definedName name="OSRRefD22_3x_0" localSheetId="2">Summary!$D$180:$D$181</definedName>
    <definedName name="OSRRefD22_4x_0" localSheetId="40">'200'!$D$28:$D$29</definedName>
    <definedName name="OSRRefD22_4x_0" localSheetId="41">'201'!$D$46:$D$47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'300'!$D$151</definedName>
    <definedName name="OSRRefD22_4x_0" localSheetId="49">'300 &amp; 317'!$D$174</definedName>
    <definedName name="OSRRefD22_4x_0" localSheetId="50">'301'!$D$47</definedName>
    <definedName name="OSRRefD22_4x_0" localSheetId="52">'307'!$D$63</definedName>
    <definedName name="OSRRefD22_4x_0" localSheetId="53">'308'!$D$86</definedName>
    <definedName name="OSRRefD22_4x_0" localSheetId="64">'309'!$D$46</definedName>
    <definedName name="OSRRefD22_4x_0" localSheetId="63">'310'!$D$56</definedName>
    <definedName name="OSRRefD22_4x_0" localSheetId="71">'310 &amp; 491'!$D$60</definedName>
    <definedName name="OSRRefD22_4x_0" localSheetId="54">'311'!$D$85</definedName>
    <definedName name="OSRRefD22_4x_0" localSheetId="65">'313'!$D$52</definedName>
    <definedName name="OSRRefD22_4x_0" localSheetId="57">'315'!$D$106</definedName>
    <definedName name="OSRRefD22_4x_0" localSheetId="60">'316'!$D$57</definedName>
    <definedName name="OSRRefD22_4x_0" localSheetId="62">'317'!$D$78</definedName>
    <definedName name="OSRRefD22_4x_0" localSheetId="66">'321'!$D$51</definedName>
    <definedName name="OSRRefD22_4x_0" localSheetId="67">'322'!$D$47</definedName>
    <definedName name="OSRRefD22_4x_0" localSheetId="68">'325'!$D$49</definedName>
    <definedName name="OSRRefD22_4x_0" localSheetId="58">'326'!$D$73</definedName>
    <definedName name="OSRRefD22_4x_0" localSheetId="51">'330'!$D$67</definedName>
    <definedName name="OSRRefD22_4x_0" localSheetId="56">'331'!$D$107</definedName>
    <definedName name="OSRRefD22_4x_0" localSheetId="59">'332'!$D$59</definedName>
    <definedName name="OSRRefD22_4x_0" localSheetId="73">'405'!$D$48:$D$49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7">'413'!$D$48</definedName>
    <definedName name="OSRRefD22_4x_0" localSheetId="78">'414'!$D$50</definedName>
    <definedName name="OSRRefD22_4x_0" localSheetId="79">'415'!$D$52</definedName>
    <definedName name="OSRRefD22_4x_0" localSheetId="80">'418'!$D$48:$D$49</definedName>
    <definedName name="OSRRefD22_4x_0" localSheetId="82">'423'!$D$45</definedName>
    <definedName name="OSRRefD22_4x_0" localSheetId="84">'425'!$D$33:$D$34</definedName>
    <definedName name="OSRRefD22_4x_0" localSheetId="87">'430'!$D$45:$D$47</definedName>
    <definedName name="OSRRefD22_4x_0" localSheetId="88">'433'!$D$53</definedName>
    <definedName name="OSRRefD22_4x_0" localSheetId="90">'444'!$D$53</definedName>
    <definedName name="OSRRefD22_4x_0" localSheetId="91">'450'!$D$49</definedName>
    <definedName name="OSRRefD22_4x_0" localSheetId="72">'491'!$D$54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3'!$D$155</definedName>
    <definedName name="OSRRefD22_4x_0" localSheetId="70">'Div 4'!$D$57</definedName>
    <definedName name="OSRRefD22_4x_0" localSheetId="92">'Div 5'!$D$47</definedName>
    <definedName name="OSRRefD22_4x_0" localSheetId="61">'Div 6'!$D$78</definedName>
    <definedName name="OSRRefD22_4x_0" localSheetId="2">Summary!$D$183</definedName>
    <definedName name="OSRRefD22_5x_0" localSheetId="41">'201'!$D$49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'300'!$D$153:$D$154</definedName>
    <definedName name="OSRRefD22_5x_0" localSheetId="49">'300 &amp; 317'!$D$176:$D$177</definedName>
    <definedName name="OSRRefD22_5x_0" localSheetId="50">'301'!$D$49:$D$50</definedName>
    <definedName name="OSRRefD22_5x_0" localSheetId="52">'307'!$D$65:$D$66</definedName>
    <definedName name="OSRRefD22_5x_0" localSheetId="53">'308'!$D$88</definedName>
    <definedName name="OSRRefD22_5x_0" localSheetId="64">'309'!$D$48</definedName>
    <definedName name="OSRRefD22_5x_0" localSheetId="63">'310'!$D$58:$D$59</definedName>
    <definedName name="OSRRefD22_5x_0" localSheetId="71">'310 &amp; 491'!$D$62:$D$64</definedName>
    <definedName name="OSRRefD22_5x_0" localSheetId="54">'311'!$D$87</definedName>
    <definedName name="OSRRefD22_5x_0" localSheetId="65">'313'!$D$54</definedName>
    <definedName name="OSRRefD22_5x_0" localSheetId="57">'315'!$D$108</definedName>
    <definedName name="OSRRefD22_5x_0" localSheetId="60">'316'!$D$59</definedName>
    <definedName name="OSRRefD22_5x_0" localSheetId="62">'317'!$D$80</definedName>
    <definedName name="OSRRefD22_5x_0" localSheetId="66">'321'!$D$53</definedName>
    <definedName name="OSRRefD22_5x_0" localSheetId="67">'322'!$D$49</definedName>
    <definedName name="OSRRefD22_5x_0" localSheetId="68">'325'!$D$51:$D$52</definedName>
    <definedName name="OSRRefD22_5x_0" localSheetId="58">'326'!$D$75</definedName>
    <definedName name="OSRRefD22_5x_0" localSheetId="51">'330'!$D$69:$D$70</definedName>
    <definedName name="OSRRefD22_5x_0" localSheetId="56">'331'!$D$109</definedName>
    <definedName name="OSRRefD22_5x_0" localSheetId="59">'332'!$D$61</definedName>
    <definedName name="OSRRefD22_5x_0" localSheetId="73">'405'!$D$51</definedName>
    <definedName name="OSRRefD22_5x_0" localSheetId="75">'411'!$D$48</definedName>
    <definedName name="OSRRefD22_5x_0" localSheetId="76">'412'!$D$49</definedName>
    <definedName name="OSRRefD22_5x_0" localSheetId="77">'413'!$D$50</definedName>
    <definedName name="OSRRefD22_5x_0" localSheetId="78">'414'!$D$52</definedName>
    <definedName name="OSRRefD22_5x_0" localSheetId="79">'415'!$D$54:$D$55</definedName>
    <definedName name="OSRRefD22_5x_0" localSheetId="80">'418'!$D$51</definedName>
    <definedName name="OSRRefD22_5x_0" localSheetId="82">'423'!$D$47</definedName>
    <definedName name="OSRRefD22_5x_0" localSheetId="84">'425'!$D$36</definedName>
    <definedName name="OSRRefD22_5x_0" localSheetId="87">'430'!$D$49:$D$50</definedName>
    <definedName name="OSRRefD22_5x_0" localSheetId="88">'433'!$D$55</definedName>
    <definedName name="OSRRefD22_5x_0" localSheetId="90">'444'!$D$55</definedName>
    <definedName name="OSRRefD22_5x_0" localSheetId="91">'450'!$D$51</definedName>
    <definedName name="OSRRefD22_5x_0" localSheetId="72">'491'!$D$56:$D$58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3'!$D$157:$D$158</definedName>
    <definedName name="OSRRefD22_5x_0" localSheetId="70">'Div 4'!$D$59:$D$61</definedName>
    <definedName name="OSRRefD22_5x_0" localSheetId="92">'Div 5'!$D$49:$D$50</definedName>
    <definedName name="OSRRefD22_5x_0" localSheetId="61">'Div 6'!$D$80</definedName>
    <definedName name="OSRRefD22_5x_0" localSheetId="2">Summary!$D$185:$D$187</definedName>
    <definedName name="OSRRefD22_6x_0" localSheetId="41">'201'!$D$51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'205'!$D$50:$D$52</definedName>
    <definedName name="OSRRefD22_6x_0" localSheetId="46">'206'!$D$49</definedName>
    <definedName name="OSRRefD22_6x_0" localSheetId="48">'300'!$D$156:$D$157</definedName>
    <definedName name="OSRRefD22_6x_0" localSheetId="49">'300 &amp; 317'!$D$179:$D$180</definedName>
    <definedName name="OSRRefD22_6x_0" localSheetId="50">'301'!$D$52</definedName>
    <definedName name="OSRRefD22_6x_0" localSheetId="52">'307'!$D$68</definedName>
    <definedName name="OSRRefD22_6x_0" localSheetId="53">'308'!$D$90:$D$91</definedName>
    <definedName name="OSRRefD22_6x_0" localSheetId="64">'309'!$D$50</definedName>
    <definedName name="OSRRefD22_6x_0" localSheetId="63">'310'!$D$61</definedName>
    <definedName name="OSRRefD22_6x_0" localSheetId="71">'310 &amp; 491'!$D$66</definedName>
    <definedName name="OSRRefD22_6x_0" localSheetId="54">'311'!$D$89:$D$90</definedName>
    <definedName name="OSRRefD22_6x_0" localSheetId="65">'313'!$D$56:$D$57</definedName>
    <definedName name="OSRRefD22_6x_0" localSheetId="57">'315'!$D$110</definedName>
    <definedName name="OSRRefD22_6x_0" localSheetId="60">'316'!$D$61:$D$62</definedName>
    <definedName name="OSRRefD22_6x_0" localSheetId="62">'317'!$D$82:$D$83</definedName>
    <definedName name="OSRRefD22_6x_0" localSheetId="66">'321'!$D$55</definedName>
    <definedName name="OSRRefD22_6x_0" localSheetId="67">'322'!$D$51</definedName>
    <definedName name="OSRRefD22_6x_0" localSheetId="68">'325'!$D$54</definedName>
    <definedName name="OSRRefD22_6x_0" localSheetId="58">'326'!$D$77</definedName>
    <definedName name="OSRRefD22_6x_0" localSheetId="51">'330'!$D$72</definedName>
    <definedName name="OSRRefD22_6x_0" localSheetId="56">'331'!$D$111</definedName>
    <definedName name="OSRRefD22_6x_0" localSheetId="59">'332'!$D$63:$D$64</definedName>
    <definedName name="OSRRefD22_6x_0" localSheetId="73">'405'!$D$53</definedName>
    <definedName name="OSRRefD22_6x_0" localSheetId="75">'411'!$D$50</definedName>
    <definedName name="OSRRefD22_6x_0" localSheetId="76">'412'!$D$51</definedName>
    <definedName name="OSRRefD22_6x_0" localSheetId="77">'413'!$D$52</definedName>
    <definedName name="OSRRefD22_6x_0" localSheetId="78">'414'!$D$54</definedName>
    <definedName name="OSRRefD22_6x_0" localSheetId="79">'415'!$D$57</definedName>
    <definedName name="OSRRefD22_6x_0" localSheetId="80">'418'!$D$53</definedName>
    <definedName name="OSRRefD22_6x_0" localSheetId="82">'423'!$D$49</definedName>
    <definedName name="OSRRefD22_6x_0" localSheetId="87">'430'!$D$52</definedName>
    <definedName name="OSRRefD22_6x_0" localSheetId="88">'433'!$D$57</definedName>
    <definedName name="OSRRefD22_6x_0" localSheetId="90">'444'!$D$57</definedName>
    <definedName name="OSRRefD22_6x_0" localSheetId="91">'450'!$D$53</definedName>
    <definedName name="OSRRefD22_6x_0" localSheetId="72">'491'!$D$60</definedName>
    <definedName name="OSRRefD22_6x_0" localSheetId="86">'492'!$D$57</definedName>
    <definedName name="OSRRefD22_6x_0" localSheetId="93">'501'!$D$52</definedName>
    <definedName name="OSRRefD22_6x_0" localSheetId="39">'Div 2'!$D$53:$D$54</definedName>
    <definedName name="OSRRefD22_6x_0" localSheetId="47">'Div 3'!$D$160:$D$161</definedName>
    <definedName name="OSRRefD22_6x_0" localSheetId="70">'Div 4'!$D$63</definedName>
    <definedName name="OSRRefD22_6x_0" localSheetId="92">'Div 5'!$D$52</definedName>
    <definedName name="OSRRefD22_6x_0" localSheetId="61">'Div 6'!$D$82:$D$83</definedName>
    <definedName name="OSRRefD22_6x_0" localSheetId="2">Summary!$D$189:$D$190</definedName>
    <definedName name="OSRRefD22_7x_0" localSheetId="41">'201'!$D$53</definedName>
    <definedName name="OSRRefD22_7x_0" localSheetId="42">'202'!$D$53:$D$55</definedName>
    <definedName name="OSRRefD22_7x_0" localSheetId="43">'203'!$D$52:$D$53</definedName>
    <definedName name="OSRRefD22_7x_0" localSheetId="44">'204'!$D$53:$D$55</definedName>
    <definedName name="OSRRefD22_7x_0" localSheetId="45">'205'!$D$54</definedName>
    <definedName name="OSRRefD22_7x_0" localSheetId="46">'206'!$D$51</definedName>
    <definedName name="OSRRefD22_7x_0" localSheetId="48">'300'!$D$159:$D$160</definedName>
    <definedName name="OSRRefD22_7x_0" localSheetId="49">'300 &amp; 317'!$D$182:$D$183</definedName>
    <definedName name="OSRRefD22_7x_0" localSheetId="50">'301'!$D$54</definedName>
    <definedName name="OSRRefD22_7x_0" localSheetId="52">'307'!$D$70</definedName>
    <definedName name="OSRRefD22_7x_0" localSheetId="53">'308'!$D$93:$D$94</definedName>
    <definedName name="OSRRefD22_7x_0" localSheetId="64">'309'!$D$52:$D$53</definedName>
    <definedName name="OSRRefD22_7x_0" localSheetId="63">'310'!$D$63</definedName>
    <definedName name="OSRRefD22_7x_0" localSheetId="71">'310 &amp; 491'!$D$68</definedName>
    <definedName name="OSRRefD22_7x_0" localSheetId="54">'311'!$D$92:$D$93</definedName>
    <definedName name="OSRRefD22_7x_0" localSheetId="65">'313'!$D$59</definedName>
    <definedName name="OSRRefD22_7x_0" localSheetId="57">'315'!$D$112:$D$113</definedName>
    <definedName name="OSRRefD22_7x_0" localSheetId="60">'316'!$D$64:$D$65</definedName>
    <definedName name="OSRRefD22_7x_0" localSheetId="62">'317'!$D$85</definedName>
    <definedName name="OSRRefD22_7x_0" localSheetId="66">'321'!$D$57:$D$58</definedName>
    <definedName name="OSRRefD22_7x_0" localSheetId="67">'322'!$D$53:$D$54</definedName>
    <definedName name="OSRRefD22_7x_0" localSheetId="68">'325'!$D$56</definedName>
    <definedName name="OSRRefD22_7x_0" localSheetId="58">'326'!$D$79</definedName>
    <definedName name="OSRRefD22_7x_0" localSheetId="51">'330'!$D$74</definedName>
    <definedName name="OSRRefD22_7x_0" localSheetId="56">'331'!$D$113</definedName>
    <definedName name="OSRRefD22_7x_0" localSheetId="59">'332'!$D$66:$D$67</definedName>
    <definedName name="OSRRefD22_7x_0" localSheetId="73">'405'!$D$55</definedName>
    <definedName name="OSRRefD22_7x_0" localSheetId="75">'411'!$D$52</definedName>
    <definedName name="OSRRefD22_7x_0" localSheetId="76">'412'!$D$53</definedName>
    <definedName name="OSRRefD22_7x_0" localSheetId="77">'413'!$D$54</definedName>
    <definedName name="OSRRefD22_7x_0" localSheetId="78">'414'!$D$56</definedName>
    <definedName name="OSRRefD22_7x_0" localSheetId="79">'415'!$D$59</definedName>
    <definedName name="OSRRefD22_7x_0" localSheetId="80">'418'!$D$55</definedName>
    <definedName name="OSRRefD22_7x_0" localSheetId="87">'430'!$D$54</definedName>
    <definedName name="OSRRefD22_7x_0" localSheetId="88">'433'!$D$59</definedName>
    <definedName name="OSRRefD22_7x_0" localSheetId="90">'444'!$D$59</definedName>
    <definedName name="OSRRefD22_7x_0" localSheetId="91">'450'!$D$55</definedName>
    <definedName name="OSRRefD22_7x_0" localSheetId="72">'491'!$D$62</definedName>
    <definedName name="OSRRefD22_7x_0" localSheetId="86">'492'!$D$59</definedName>
    <definedName name="OSRRefD22_7x_0" localSheetId="93">'501'!$D$54</definedName>
    <definedName name="OSRRefD22_7x_0" localSheetId="39">'Div 2'!$D$56</definedName>
    <definedName name="OSRRefD22_7x_0" localSheetId="47">'Div 3'!$D$163:$D$164</definedName>
    <definedName name="OSRRefD22_7x_0" localSheetId="70">'Div 4'!$D$65</definedName>
    <definedName name="OSRRefD22_7x_0" localSheetId="92">'Div 5'!$D$54</definedName>
    <definedName name="OSRRefD22_7x_0" localSheetId="61">'Div 6'!$D$85</definedName>
    <definedName name="OSRRefD22_7x_0" localSheetId="2">Summary!$D$192:$D$193</definedName>
    <definedName name="OSRRefD22_8x_0" localSheetId="41">'201'!$D$55</definedName>
    <definedName name="OSRRefD22_8x_0" localSheetId="42">'202'!$D$57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'300'!$D$162</definedName>
    <definedName name="OSRRefD22_8x_0" localSheetId="49">'300 &amp; 317'!$D$185</definedName>
    <definedName name="OSRRefD22_8x_0" localSheetId="50">'301'!$D$56</definedName>
    <definedName name="OSRRefD22_8x_0" localSheetId="52">'307'!$D$72</definedName>
    <definedName name="OSRRefD22_8x_0" localSheetId="53">'308'!$D$96</definedName>
    <definedName name="OSRRefD22_8x_0" localSheetId="64">'309'!$D$55:$D$56</definedName>
    <definedName name="OSRRefD22_8x_0" localSheetId="63">'310'!$D$65</definedName>
    <definedName name="OSRRefD22_8x_0" localSheetId="71">'310 &amp; 491'!$D$70:$D$71</definedName>
    <definedName name="OSRRefD22_8x_0" localSheetId="54">'311'!$D$95</definedName>
    <definedName name="OSRRefD22_8x_0" localSheetId="65">'313'!$D$61:$D$63</definedName>
    <definedName name="OSRRefD22_8x_0" localSheetId="57">'315'!$D$115</definedName>
    <definedName name="OSRRefD22_8x_0" localSheetId="60">'316'!$D$67</definedName>
    <definedName name="OSRRefD22_8x_0" localSheetId="62">'317'!$D$87</definedName>
    <definedName name="OSRRefD22_8x_0" localSheetId="66">'321'!$D$60:$D$61</definedName>
    <definedName name="OSRRefD22_8x_0" localSheetId="67">'322'!$D$56:$D$57</definedName>
    <definedName name="OSRRefD22_8x_0" localSheetId="68">'325'!$D$58</definedName>
    <definedName name="OSRRefD22_8x_0" localSheetId="58">'326'!$D$81:$D$82</definedName>
    <definedName name="OSRRefD22_8x_0" localSheetId="51">'330'!$D$76</definedName>
    <definedName name="OSRRefD22_8x_0" localSheetId="56">'331'!$D$115:$D$116</definedName>
    <definedName name="OSRRefD22_8x_0" localSheetId="59">'332'!$D$69</definedName>
    <definedName name="OSRRefD22_8x_0" localSheetId="73">'405'!$D$57</definedName>
    <definedName name="OSRRefD22_8x_0" localSheetId="75">'411'!$D$54</definedName>
    <definedName name="OSRRefD22_8x_0" localSheetId="76">'412'!$D$55:$D$56</definedName>
    <definedName name="OSRRefD22_8x_0" localSheetId="77">'413'!$D$56:$D$59</definedName>
    <definedName name="OSRRefD22_8x_0" localSheetId="78">'414'!$D$58:$D$59</definedName>
    <definedName name="OSRRefD22_8x_0" localSheetId="79">'415'!$D$61</definedName>
    <definedName name="OSRRefD22_8x_0" localSheetId="80">'418'!$D$57:$D$59</definedName>
    <definedName name="OSRRefD22_8x_0" localSheetId="88">'433'!$D$61</definedName>
    <definedName name="OSRRefD22_8x_0" localSheetId="90">'444'!$D$61</definedName>
    <definedName name="OSRRefD22_8x_0" localSheetId="91">'450'!$D$57</definedName>
    <definedName name="OSRRefD22_8x_0" localSheetId="72">'491'!$D$64</definedName>
    <definedName name="OSRRefD22_8x_0" localSheetId="86">'492'!$D$61</definedName>
    <definedName name="OSRRefD22_8x_0" localSheetId="93">'501'!$D$56</definedName>
    <definedName name="OSRRefD22_8x_0" localSheetId="39">'Div 2'!$D$58</definedName>
    <definedName name="OSRRefD22_8x_0" localSheetId="47">'Div 3'!$D$166</definedName>
    <definedName name="OSRRefD22_8x_0" localSheetId="70">'Div 4'!$D$67</definedName>
    <definedName name="OSRRefD22_8x_0" localSheetId="92">'Div 5'!$D$56</definedName>
    <definedName name="OSRRefD22_8x_0" localSheetId="61">'Div 6'!$D$87</definedName>
    <definedName name="OSRRefD22_8x_0" localSheetId="2">Summary!$D$195</definedName>
    <definedName name="OSRRefD22_9x_0" localSheetId="41">'201'!$D$57</definedName>
    <definedName name="OSRRefD22_9x_0" localSheetId="42">'202'!$D$59:$D$61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'300'!$D$164</definedName>
    <definedName name="OSRRefD22_9x_0" localSheetId="49">'300 &amp; 317'!$D$187</definedName>
    <definedName name="OSRRefD22_9x_0" localSheetId="50">'301'!$D$58</definedName>
    <definedName name="OSRRefD22_9x_0" localSheetId="52">'307'!$D$74:$D$75</definedName>
    <definedName name="OSRRefD22_9x_0" localSheetId="53">'308'!$D$98:$D$99</definedName>
    <definedName name="OSRRefD22_9x_0" localSheetId="64">'309'!$D$58:$D$60</definedName>
    <definedName name="OSRRefD22_9x_0" localSheetId="63">'310'!$D$67</definedName>
    <definedName name="OSRRefD22_9x_0" localSheetId="71">'310 &amp; 491'!$D$73</definedName>
    <definedName name="OSRRefD22_9x_0" localSheetId="54">'311'!$D$97:$D$98</definedName>
    <definedName name="OSRRefD22_9x_0" localSheetId="65">'313'!$D$65:$D$66</definedName>
    <definedName name="OSRRefD22_9x_0" localSheetId="57">'315'!$D$117:$D$118</definedName>
    <definedName name="OSRRefD22_9x_0" localSheetId="60">'316'!$D$69:$D$73</definedName>
    <definedName name="OSRRefD22_9x_0" localSheetId="62">'317'!$D$89:$D$90</definedName>
    <definedName name="OSRRefD22_9x_0" localSheetId="66">'321'!$D$63:$D$64</definedName>
    <definedName name="OSRRefD22_9x_0" localSheetId="67">'322'!$D$59:$D$62</definedName>
    <definedName name="OSRRefD22_9x_0" localSheetId="68">'325'!$D$60</definedName>
    <definedName name="OSRRefD22_9x_0" localSheetId="58">'326'!$D$84</definedName>
    <definedName name="OSRRefD22_9x_0" localSheetId="51">'330'!$D$78:$D$79</definedName>
    <definedName name="OSRRefD22_9x_0" localSheetId="56">'331'!$D$118:$D$119</definedName>
    <definedName name="OSRRefD22_9x_0" localSheetId="59">'332'!$D$71:$D$75</definedName>
    <definedName name="OSRRefD22_9x_0" localSheetId="73">'405'!$D$59:$D$60</definedName>
    <definedName name="OSRRefD22_9x_0" localSheetId="75">'411'!$D$56:$D$59</definedName>
    <definedName name="OSRRefD22_9x_0" localSheetId="76">'412'!$D$58</definedName>
    <definedName name="OSRRefD22_9x_0" localSheetId="77">'413'!$D$61:$D$62</definedName>
    <definedName name="OSRRefD22_9x_0" localSheetId="78">'414'!$D$61</definedName>
    <definedName name="OSRRefD22_9x_0" localSheetId="79">'415'!$D$63</definedName>
    <definedName name="OSRRefD22_9x_0" localSheetId="80">'418'!$D$61:$D$62</definedName>
    <definedName name="OSRRefD22_9x_0" localSheetId="88">'433'!$D$63</definedName>
    <definedName name="OSRRefD22_9x_0" localSheetId="90">'444'!$D$63</definedName>
    <definedName name="OSRRefD22_9x_0" localSheetId="91">'450'!$D$59</definedName>
    <definedName name="OSRRefD22_9x_0" localSheetId="72">'491'!$D$66</definedName>
    <definedName name="OSRRefD22_9x_0" localSheetId="86">'492'!$D$63</definedName>
    <definedName name="OSRRefD22_9x_0" localSheetId="93">'501'!$D$58:$D$61</definedName>
    <definedName name="OSRRefD22_9x_0" localSheetId="39">'Div 2'!$D$60:$D$61</definedName>
    <definedName name="OSRRefD22_9x_0" localSheetId="47">'Div 3'!$D$168</definedName>
    <definedName name="OSRRefD22_9x_0" localSheetId="70">'Div 4'!$D$69</definedName>
    <definedName name="OSRRefD22_9x_0" localSheetId="92">'Div 5'!$D$58:$D$61</definedName>
    <definedName name="OSRRefD22_9x_0" localSheetId="61">'Div 6'!$D$89:$D$90</definedName>
    <definedName name="OSRRefD22_9x_0" localSheetId="2">Summary!$D$197</definedName>
    <definedName name="OSRRefD22x_0" localSheetId="40">'200'!$D$20,'200'!$D$22,'200'!$D$24,'200'!$D$26,'200'!$D$28:$D$29</definedName>
    <definedName name="OSRRefD22x_0" localSheetId="41">'201'!$D$21:$D$29,'201'!$D$31:$D$40,'201'!$D$42,'201'!$D$44,'201'!$D$46:$D$47,'201'!$D$49,'201'!$D$51,'201'!$D$53,'201'!$D$55,'201'!$D$57,'201'!$D$59:$D$61,'201'!$D$63:$D$64,'201'!$D$66,'201'!$D$68:$D$70,'201'!$D$72,'201'!$D$74,'201'!$D$76</definedName>
    <definedName name="OSRRefD22x_0" localSheetId="42">'202'!$D$21:$D$29,'202'!$D$31:$D$40,'202'!$D$42,'202'!$D$44,'202'!$D$46:$D$47,'202'!$D$49,'202'!$D$51,'202'!$D$53:$D$55,'202'!$D$57,'202'!$D$59:$D$61,'202'!$D$63,'202'!$D$65,'202'!$D$67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$124:$D$133,'300'!$D$135:$D$144,'300'!$D$146,'300'!$D$148:$D$149,'300'!$D$151,'300'!$D$153:$D$154,'300'!$D$156:$D$157,'300'!$D$159:$D$160,'300'!$D$162,'300'!$D$164,'300'!$D$166:$D$167,'300'!$D$169:$D$171,'300'!$D$173,'300'!$D$175:$D$176,'300'!$D$178,'300'!$D$180,'300'!$D$182:$D$185,'300'!$D$187:$D$190,'300'!$D$192:$D$195,'300'!$D$197:$D$198,'300'!$D$200:$D$208,'300'!$D$210:$D$211,'300'!$D$213,'300'!$D$215:$D$217,'300'!$D$219</definedName>
    <definedName name="OSRRefD22x_0" localSheetId="49">'300 &amp; 317'!$D$147:$D$156,'300 &amp; 317'!$D$158:$D$167,'300 &amp; 317'!$D$169,'300 &amp; 317'!$D$171:$D$172,'300 &amp; 317'!$D$174,'300 &amp; 317'!$D$176:$D$177,'300 &amp; 317'!$D$179:$D$180,'300 &amp; 317'!$D$182:$D$183,'300 &amp; 317'!$D$185,'300 &amp; 317'!$D$187,'300 &amp; 317'!$D$189:$D$190,'300 &amp; 317'!$D$192:$D$194,'300 &amp; 317'!$D$196,'300 &amp; 317'!$D$198:$D$199,'300 &amp; 317'!$D$201,'300 &amp; 317'!$D$203,'300 &amp; 317'!$D$205:$D$208,'300 &amp; 317'!$D$210:$D$213,'300 &amp; 317'!$D$215:$D$218,'300 &amp; 317'!$D$220:$D$221,'300 &amp; 317'!$D$223:$D$231,'300 &amp; 317'!$D$233:$D$234,'300 &amp; 317'!$D$236,'300 &amp; 317'!$D$238:$D$240,'300 &amp; 317'!$D$242</definedName>
    <definedName name="OSRRefD22x_0" localSheetId="50">'301'!$D$20:$D$29,'301'!$D$31:$D$40,'301'!$D$42,'301'!$D$44:$D$45,'301'!$D$47,'301'!$D$49:$D$50,'301'!$D$52,'301'!$D$54,'301'!$D$56,'301'!$D$58,'301'!$D$60,'301'!$D$62,'301'!$D$64,'301'!$D$66,'301'!$D$68:$D$71,'301'!$D$73:$D$75,'301'!$D$77,'301'!$D$79:$D$85,'301'!$D$87,'301'!$D$89,'301'!$D$91:$D$92,'301'!$D$94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'308'!$D$59:$D$68,'308'!$D$70:$D$79,'308'!$D$81,'308'!$D$83:$D$84,'308'!$D$86,'308'!$D$88,'308'!$D$90:$D$91,'308'!$D$93:$D$94,'308'!$D$96,'308'!$D$98:$D$99,'308'!$D$101:$D$102,'308'!$D$104:$D$106,'308'!$D$108:$D$109,'308'!$D$111,'308'!$D$113</definedName>
    <definedName name="OSRRefD22x_0" localSheetId="64">'309'!$D$22:$D$29,'309'!$D$31:$D$40,'309'!$D$42,'309'!$D$44,'309'!$D$46,'309'!$D$48,'309'!$D$50,'309'!$D$52:$D$53,'309'!$D$55:$D$56,'309'!$D$58:$D$60,'309'!$D$62</definedName>
    <definedName name="OSRRefD22x_0" localSheetId="63">'310'!$D$31:$D$39,'310'!$D$41:$D$50,'310'!$D$52,'310'!$D$54,'310'!$D$56,'310'!$D$58:$D$59,'310'!$D$61,'310'!$D$63,'310'!$D$65,'310'!$D$67,'310'!$D$69,'310'!$D$71,'310'!$D$73,'310'!$D$75:$D$78,'310'!$D$80:$D$81,'310'!$D$83:$D$86,'310'!$D$88,'310'!$D$90:$D$96,'310'!$D$98:$D$99,'310'!$D$101,'310'!$D$103,'310'!$D$105</definedName>
    <definedName name="OSRRefD22x_0" localSheetId="71">'310 &amp; 491'!$D$35:$D$43,'310 &amp; 491'!$D$45:$D$54,'310 &amp; 491'!$D$56,'310 &amp; 491'!$D$58,'310 &amp; 491'!$D$60,'310 &amp; 491'!$D$62:$D$64,'310 &amp; 491'!$D$66,'310 &amp; 491'!$D$68,'310 &amp; 491'!$D$70:$D$71,'310 &amp; 491'!$D$73,'310 &amp; 491'!$D$75,'310 &amp; 491'!$D$77,'310 &amp; 491'!$D$79,'310 &amp; 491'!$D$81:$D$84,'310 &amp; 491'!$D$86:$D$87,'310 &amp; 491'!$D$89:$D$93,'310 &amp; 491'!$D$95:$D$96,'310 &amp; 491'!$D$98:$D$108,'310 &amp; 491'!$D$110:$D$111,'310 &amp; 491'!$D$113,'310 &amp; 491'!$D$115:$D$117,'310 &amp; 491'!$D$119</definedName>
    <definedName name="OSRRefD22x_0" localSheetId="54">'311'!$D$58:$D$67,'311'!$D$69:$D$78,'311'!$D$80,'311'!$D$82:$D$83,'311'!$D$85,'311'!$D$87,'311'!$D$89:$D$90,'311'!$D$92:$D$93,'311'!$D$95,'311'!$D$97:$D$98,'311'!$D$100:$D$101,'311'!$D$103:$D$105,'311'!$D$107:$D$108,'311'!$D$110,'311'!$D$112</definedName>
    <definedName name="OSRRefD22x_0" localSheetId="65">'313'!$D$27:$D$35,'313'!$D$37:$D$46,'313'!$D$48,'313'!$D$50,'313'!$D$52,'313'!$D$54,'313'!$D$56:$D$57,'313'!$D$59,'313'!$D$61:$D$63,'313'!$D$65:$D$66,'313'!$D$68,'313'!$D$70</definedName>
    <definedName name="OSRRefD22x_0" localSheetId="57">'315'!$D$81:$D$89,'315'!$D$91:$D$100,'315'!$D$102,'315'!$D$104,'315'!$D$106,'315'!$D$108,'315'!$D$110,'315'!$D$112:$D$113,'315'!$D$115,'315'!$D$117:$D$118,'315'!$D$120,'315'!$D$122,'315'!$D$124:$D$126,'315'!$D$128:$D$129,'315'!$D$131:$D$137,'315'!$D$139,'315'!$D$141,'315'!$D$143:$D$144</definedName>
    <definedName name="OSRRefD22x_0" localSheetId="60">'316'!$D$32:$D$40,'316'!$D$42:$D$51,'316'!$D$53,'316'!$D$55,'316'!$D$57,'316'!$D$59,'316'!$D$61:$D$62,'316'!$D$64:$D$65,'316'!$D$67,'316'!$D$69:$D$73,'316'!$D$75,'316'!$D$77</definedName>
    <definedName name="OSRRefD22x_0" localSheetId="62">'317'!$D$52:$D$61,'317'!$D$63:$D$72,'317'!$D$74,'317'!$D$76,'317'!$D$78,'317'!$D$80,'317'!$D$82:$D$83,'317'!$D$85,'317'!$D$87,'317'!$D$89:$D$90,'317'!$D$92:$D$95,'317'!$D$97,'317'!$D$99</definedName>
    <definedName name="OSRRefD22x_0" localSheetId="66">'321'!$D$26:$D$34,'321'!$D$36:$D$45,'321'!$D$47,'321'!$D$49,'321'!$D$51,'321'!$D$53,'321'!$D$55,'321'!$D$57:$D$58,'321'!$D$60:$D$61,'321'!$D$63:$D$64,'321'!$D$66:$D$68,'321'!$D$70:$D$71,'321'!$D$73,'321'!$D$75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8">'326'!$D$48:$D$56,'326'!$D$58:$D$67,'326'!$D$69,'326'!$D$71,'326'!$D$73,'326'!$D$75,'326'!$D$77,'326'!$D$79,'326'!$D$81:$D$82,'326'!$D$84,'326'!$D$86,'326'!$D$88,'326'!$D$90,'326'!$D$92:$D$94,'326'!$D$96:$D$98,'326'!$D$100:$D$101,'326'!$D$103:$D$108,'326'!$D$110:$D$111,'326'!$D$113,'326'!$D$115:$D$116,'326'!$D$118</definedName>
    <definedName name="OSRRefD22x_0" localSheetId="69">'327'!$D$24</definedName>
    <definedName name="OSRRefD22x_0" localSheetId="51">'330'!$D$42:$D$50,'330'!$D$52:$D$61,'330'!$D$63,'330'!$D$65,'330'!$D$67,'330'!$D$69:$D$70,'330'!$D$72,'330'!$D$74,'330'!$D$76,'330'!$D$78:$D$79,'330'!$D$81:$D$82,'330'!$D$84:$D$87,'330'!$D$89:$D$90,'330'!$D$92</definedName>
    <definedName name="OSRRefD22x_0" localSheetId="56">'331'!$D$82:$D$90,'331'!$D$92:$D$101,'331'!$D$103,'331'!$D$105,'331'!$D$107,'331'!$D$109,'331'!$D$111,'331'!$D$113,'331'!$D$115:$D$116,'331'!$D$118:$D$119,'331'!$D$121,'331'!$D$123:$D$124,'331'!$D$126,'331'!$D$128,'331'!$D$130:$D$132,'331'!$D$134:$D$136,'331'!$D$138:$D$140,'331'!$D$142:$D$143,'331'!$D$145:$D$152,'331'!$D$154:$D$155,'331'!$D$157,'331'!$D$159:$D$160,'331'!$D$162</definedName>
    <definedName name="OSRRefD22x_0" localSheetId="59">'332'!$D$34:$D$42,'332'!$D$44:$D$53,'332'!$D$55,'332'!$D$57,'332'!$D$59,'332'!$D$61,'332'!$D$63:$D$64,'332'!$D$66:$D$67,'332'!$D$69,'332'!$D$71:$D$75,'332'!$D$77,'332'!$D$79</definedName>
    <definedName name="OSRRefD22x_0" localSheetId="73">'405'!$D$24:$D$31,'405'!$D$33:$D$42,'405'!$D$44,'405'!$D$46,'405'!$D$48:$D$49,'405'!$D$51,'405'!$D$53,'405'!$D$55,'405'!$D$57,'405'!$D$59:$D$60,'405'!$D$62,'405'!$D$64:$D$67,'405'!$D$69,'405'!$D$71:$D$79,'405'!$D$81,'405'!$D$83,'405'!$D$85,'405'!$D$87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'411'!$D$20:$D$28,'411'!$D$30:$D$39,'411'!$D$41,'411'!$D$43,'411'!$D$45:$D$46,'411'!$D$48,'411'!$D$50,'411'!$D$52,'411'!$D$54,'411'!$D$56:$D$59,'411'!$D$61:$D$64,'411'!$D$66:$D$67,'411'!$D$69:$D$75,'411'!$D$77,'411'!$D$79,'411'!$D$81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7">'413'!$D$23:$D$31,'413'!$D$33:$D$42,'413'!$D$44,'413'!$D$46,'413'!$D$48,'413'!$D$50,'413'!$D$52,'413'!$D$54,'413'!$D$56:$D$59,'413'!$D$61:$D$62,'413'!$D$64:$D$71,'413'!$D$73:$D$74,'413'!$D$76</definedName>
    <definedName name="OSRRefD22x_0" localSheetId="78">'414'!$D$25:$D$33,'414'!$D$35:$D$44,'414'!$D$46,'414'!$D$48,'414'!$D$50,'414'!$D$52,'414'!$D$54,'414'!$D$56,'414'!$D$58:$D$59,'414'!$D$61,'414'!$D$63,'414'!$D$65,'414'!$D$67:$D$69,'414'!$D$71,'414'!$D$73,'414'!$D$75</definedName>
    <definedName name="OSRRefD22x_0" localSheetId="79">'415'!$D$27:$D$35,'415'!$D$37:$D$46,'415'!$D$48,'415'!$D$50,'415'!$D$52,'415'!$D$54:$D$55,'415'!$D$57,'415'!$D$59,'415'!$D$61,'415'!$D$63,'415'!$D$65,'415'!$D$67:$D$68,'415'!$D$70:$D$74,'415'!$D$76,'415'!$D$78:$D$85,'415'!$D$87:$D$88,'415'!$D$90,'415'!$D$92:$D$93,'415'!$D$95</definedName>
    <definedName name="OSRRefD22x_0" localSheetId="80">'418'!$D$24:$D$31,'418'!$D$33:$D$42,'418'!$D$44,'418'!$D$46,'418'!$D$48:$D$49,'418'!$D$51,'418'!$D$53,'418'!$D$55,'418'!$D$57:$D$59,'418'!$D$61:$D$62,'418'!$D$64:$D$65,'418'!$D$67:$D$76,'418'!$D$78:$D$79,'418'!$D$81</definedName>
    <definedName name="OSRRefD22x_0" localSheetId="81">'420'!$D$21,'420'!$D$23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'425'!$D$21:$D$25,'425'!$D$27,'425'!$D$29,'425'!$D$31,'425'!$D$33:$D$34,'425'!$D$36</definedName>
    <definedName name="OSRRefD22x_0" localSheetId="87">'430'!$D$20:$D$28,'430'!$D$30:$D$39,'430'!$D$41,'430'!$D$43,'430'!$D$45:$D$47,'430'!$D$49:$D$50,'430'!$D$52,'430'!$D$54</definedName>
    <definedName name="OSRRefD22x_0" localSheetId="88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'444'!$D$27:$D$36,'444'!$D$38:$D$47,'444'!$D$49,'444'!$D$51,'444'!$D$53,'444'!$D$55,'444'!$D$57,'444'!$D$59,'444'!$D$61,'444'!$D$63,'444'!$D$65,'444'!$D$67:$D$70,'444'!$D$72:$D$75,'444'!$D$77,'444'!$D$79:$D$87,'444'!$D$89:$D$90,'444'!$D$92</definedName>
    <definedName name="OSRRefD22x_0" localSheetId="91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$29:$D$37,'491'!$D$39:$D$48,'491'!$D$50,'491'!$D$52,'491'!$D$54,'491'!$D$56:$D$58,'491'!$D$60,'491'!$D$62,'491'!$D$64,'491'!$D$66,'491'!$D$68,'491'!$D$70,'491'!$D$72,'491'!$D$74:$D$77,'491'!$D$79:$D$80,'491'!$D$82:$D$86,'491'!$D$88:$D$89,'491'!$D$91:$D$101,'491'!$D$103:$D$104,'491'!$D$106,'491'!$D$108:$D$110,'491'!$D$112</definedName>
    <definedName name="OSRRefD22x_0" localSheetId="86">'492'!$D$27:$D$36,'492'!$D$38:$D$47,'492'!$D$49,'492'!$D$51,'492'!$D$53,'492'!$D$55,'492'!$D$57,'492'!$D$59,'492'!$D$61,'492'!$D$63,'492'!$D$65,'492'!$D$67,'492'!$D$69:$D$72,'492'!$D$74:$D$77,'492'!$D$79,'492'!$D$81:$D$90,'492'!$D$92:$D$93,'492'!$D$95,'492'!$D$97</definedName>
    <definedName name="OSRRefD22x_0" localSheetId="93">'501'!$D$21:$D$30,'501'!$D$32:$D$41,'501'!$D$43,'501'!$D$45,'501'!$D$47,'501'!$D$49:$D$50,'501'!$D$52,'501'!$D$54,'501'!$D$56,'501'!$D$58:$D$61,'501'!$D$63:$D$64,'501'!$D$66,'501'!$D$68</definedName>
    <definedName name="OSRRefD22x_0" localSheetId="39">'Div 2'!$D$21:$D$31,'Div 2'!$D$33:$D$42,'Div 2'!$D$44,'Div 2'!$D$46,'Div 2'!$D$48,'Div 2'!$D$50:$D$51,'Div 2'!$D$53:$D$54,'Div 2'!$D$56,'Div 2'!$D$58,'Div 2'!$D$60:$D$61,'Div 2'!$D$63,'Div 2'!$D$65:$D$66,'Div 2'!$D$68:$D$71,'Div 2'!$D$73:$D$76,'Div 2'!$D$78:$D$79,'Div 2'!$D$81:$D$82,'Div 2'!$D$84:$D$88,'Div 2'!$D$90:$D$91,'Div 2'!$D$93,'Div 2'!$D$95:$D$96</definedName>
    <definedName name="OSRRefD22x_0" localSheetId="47">'Div 3'!$D$128:$D$137,'Div 3'!$D$139:$D$148,'Div 3'!$D$150,'Div 3'!$D$152:$D$153,'Div 3'!$D$155,'Div 3'!$D$157:$D$158,'Div 3'!$D$160:$D$161,'Div 3'!$D$163:$D$164,'Div 3'!$D$166,'Div 3'!$D$168,'Div 3'!$D$170:$D$171,'Div 3'!$D$173:$D$175,'Div 3'!$D$177,'Div 3'!$D$179,'Div 3'!$D$181:$D$182,'Div 3'!$D$184,'Div 3'!$D$186,'Div 3'!$D$188:$D$191,'Div 3'!$D$193:$D$196,'Div 3'!$D$198:$D$202,'Div 3'!$D$204:$D$205,'Div 3'!$D$207:$D$215,'Div 3'!$D$217:$D$218,'Div 3'!$D$220,'Div 3'!$D$222:$D$224,'Div 3'!$D$226</definedName>
    <definedName name="OSRRefD22x_0" localSheetId="70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4'!$D$95:$D$96,'Div 4'!$D$98:$D$108,'Div 4'!$D$110:$D$111,'Div 4'!$D$113,'Div 4'!$D$115:$D$117,'Div 4'!$D$119</definedName>
    <definedName name="OSRRefD22x_0" localSheetId="92">'Div 5'!$D$21:$D$30,'Div 5'!$D$32:$D$41,'Div 5'!$D$43,'Div 5'!$D$45,'Div 5'!$D$47,'Div 5'!$D$49:$D$50,'Div 5'!$D$52,'Div 5'!$D$54,'Div 5'!$D$56,'Div 5'!$D$58:$D$61,'Div 5'!$D$63:$D$64,'Div 5'!$D$66,'Div 5'!$D$68</definedName>
    <definedName name="OSRRefD22x_0" localSheetId="61">'Div 6'!$D$52:$D$61,'Div 6'!$D$63:$D$72,'Div 6'!$D$74,'Div 6'!$D$76,'Div 6'!$D$78,'Div 6'!$D$80,'Div 6'!$D$82:$D$83,'Div 6'!$D$85,'Div 6'!$D$87,'Div 6'!$D$89:$D$90,'Div 6'!$D$92:$D$95,'Div 6'!$D$97,'Div 6'!$D$99</definedName>
    <definedName name="OSRRefD22x_0" localSheetId="2">Summary!$D$156:$D$165,Summary!$D$167:$D$176,Summary!$D$178,Summary!$D$180:$D$181,Summary!$D$183,Summary!$D$185:$D$187,Summary!$D$189:$D$190,Summary!$D$192:$D$193,Summary!$D$195,Summary!$D$197,Summary!$D$199:$D$200,Summary!$D$202:$D$204,Summary!$D$206,Summary!$D$208,Summary!$D$210:$D$211,Summary!$D$213,Summary!$D$215,Summary!$D$217,Summary!$D$219:$D$222,Summary!$D$224:$D$227,Summary!$D$229:$D$233,Summary!$D$235:$D$236,Summary!$D$238:$D$248,Summary!$D$250:$D$251,Summary!$D$253,Summary!$D$255:$D$257,Summary!$D$259</definedName>
    <definedName name="OSRRefD25x_0" localSheetId="42">'202'!$D$70:$D$72</definedName>
    <definedName name="OSRRefD25x_0" localSheetId="48">'300'!$D$222:$D$225</definedName>
    <definedName name="OSRRefD25x_0" localSheetId="49">'300 &amp; 317'!$D$245:$D$249</definedName>
    <definedName name="OSRRefD25x_0" localSheetId="50">'301'!$D$97:$D$98</definedName>
    <definedName name="OSRRefD25x_0" localSheetId="53">'308'!$D$116:$D$118</definedName>
    <definedName name="OSRRefD25x_0" localSheetId="71">'310 &amp; 491'!$D$122:$D$125</definedName>
    <definedName name="OSRRefD25x_0" localSheetId="54">'311'!$D$115:$D$117</definedName>
    <definedName name="OSRRefD25x_0" localSheetId="57">'315'!$D$147:$D$149</definedName>
    <definedName name="OSRRefD25x_0" localSheetId="60">'316'!$D$80</definedName>
    <definedName name="OSRRefD25x_0" localSheetId="62">'317'!$D$102:$D$103</definedName>
    <definedName name="OSRRefD25x_0" localSheetId="56">'331'!$D$165:$D$167</definedName>
    <definedName name="OSRRefD25x_0" localSheetId="59">'332'!$D$82:$D$83</definedName>
    <definedName name="OSRRefD25x_0" localSheetId="75">'411'!$D$84:$D$85</definedName>
    <definedName name="OSRRefD25x_0" localSheetId="80">'418'!$D$84</definedName>
    <definedName name="OSRRefD25x_0" localSheetId="82">'423'!$D$52:$D$54</definedName>
    <definedName name="OSRRefD25x_0" localSheetId="85">'455'!$D$21:$D$22</definedName>
    <definedName name="OSRRefD25x_0" localSheetId="72">'491'!$D$115:$D$118</definedName>
    <definedName name="OSRRefD25x_0" localSheetId="93">'501'!$D$71</definedName>
    <definedName name="OSRRefD25x_0" localSheetId="39">'Div 2'!$D$99:$D$101</definedName>
    <definedName name="OSRRefD25x_0" localSheetId="47">'Div 3'!$D$229:$D$232</definedName>
    <definedName name="OSRRefD25x_0" localSheetId="70">'Div 4'!$D$122:$D$125</definedName>
    <definedName name="OSRRefD25x_0" localSheetId="92">'Div 5'!$D$71</definedName>
    <definedName name="OSRRefD25x_0" localSheetId="61">'Div 6'!$D$102:$D$103</definedName>
    <definedName name="OSRRefD25x_0" localSheetId="2">Summary!$D$262:$D$268</definedName>
    <definedName name="OSRRefH13x_0" localSheetId="41">'201'!$H$13</definedName>
    <definedName name="OSRRefH13x_0" localSheetId="42">'202'!$H$13</definedName>
    <definedName name="OSRRefH13x_0" localSheetId="48">'300'!$H$13:$H$77</definedName>
    <definedName name="OSRRefH13x_0" localSheetId="49">'300 &amp; 317'!$H$13:$H$91</definedName>
    <definedName name="OSRRefH13x_0" localSheetId="52">'307'!$H$13:$H$23</definedName>
    <definedName name="OSRRefH13x_0" localSheetId="53">'308'!$H$13:$H$35</definedName>
    <definedName name="OSRRefH13x_0" localSheetId="64">'309'!$H$13</definedName>
    <definedName name="OSRRefH13x_0" localSheetId="63">'310'!$H$13:$H$20</definedName>
    <definedName name="OSRRefH13x_0" localSheetId="71">'310 &amp; 491'!$H$13:$H$24</definedName>
    <definedName name="OSRRefH13x_0" localSheetId="54">'311'!$H$13:$H$34</definedName>
    <definedName name="OSRRefH13x_0" localSheetId="65">'313'!$H$13:$H$17</definedName>
    <definedName name="OSRRefH13x_0" localSheetId="57">'315'!$H$13:$H$50</definedName>
    <definedName name="OSRRefH13x_0" localSheetId="60">'316'!$H$13:$H$24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'326'!$H$13:$H$33</definedName>
    <definedName name="OSRRefH13x_0" localSheetId="69">'327'!$H$13:$H$14</definedName>
    <definedName name="OSRRefH13x_0" localSheetId="51">'330'!$H$13:$H$26</definedName>
    <definedName name="OSRRefH13x_0" localSheetId="56">'331'!$H$13:$H$50</definedName>
    <definedName name="OSRRefH13x_0" localSheetId="59">'332'!$H$13:$H$24</definedName>
    <definedName name="OSRRefH13x_0" localSheetId="73">'405'!$H$13:$H$14</definedName>
    <definedName name="OSRRefH13x_0" localSheetId="76">'412'!$H$13</definedName>
    <definedName name="OSRRefH13x_0" localSheetId="77">'413'!$H$13:$H$14</definedName>
    <definedName name="OSRRefH13x_0" localSheetId="78">'414'!$H$13:$H$15</definedName>
    <definedName name="OSRRefH13x_0" localSheetId="79">'415'!$H$13:$H$16</definedName>
    <definedName name="OSRRefH13x_0" localSheetId="80">'418'!$H$13:$H$14</definedName>
    <definedName name="OSRRefH13x_0" localSheetId="81">'420'!$H$13</definedName>
    <definedName name="OSRRefH13x_0" localSheetId="88">'433'!$H$13:$H$16</definedName>
    <definedName name="OSRRefH13x_0" localSheetId="90">'444'!$H$13:$H$16</definedName>
    <definedName name="OSRRefH13x_0" localSheetId="91">'450'!$H$13:$H$14</definedName>
    <definedName name="OSRRefH13x_0" localSheetId="72">'491'!$H$13:$H$18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3'!$H$13:$H$79</definedName>
    <definedName name="OSRRefH13x_0" localSheetId="70">'Div 4'!$H$13:$H$20</definedName>
    <definedName name="OSRRefH13x_0" localSheetId="92">'Div 5'!$H$13</definedName>
    <definedName name="OSRRefH13x_0" localSheetId="61">'Div 6'!$H$13:$H$30</definedName>
    <definedName name="OSRRefH13x_0" localSheetId="2">Summary!$H$13:$H$98</definedName>
    <definedName name="OSRRefH16x_0" localSheetId="48">'300'!$H$80:$H$118</definedName>
    <definedName name="OSRRefH16x_0" localSheetId="49">'300 &amp; 317'!$H$94:$H$141</definedName>
    <definedName name="OSRRefH16x_0" localSheetId="52">'307'!$H$26:$H$33</definedName>
    <definedName name="OSRRefH16x_0" localSheetId="53">'308'!$H$38:$H$53</definedName>
    <definedName name="OSRRefH16x_0" localSheetId="64">'309'!$H$16</definedName>
    <definedName name="OSRRefH16x_0" localSheetId="63">'310'!$H$23:$H$25</definedName>
    <definedName name="OSRRefH16x_0" localSheetId="71">'310 &amp; 491'!$H$27:$H$29</definedName>
    <definedName name="OSRRefH16x_0" localSheetId="54">'311'!$H$37:$H$52</definedName>
    <definedName name="OSRRefH16x_0" localSheetId="65">'313'!$H$20:$H$21</definedName>
    <definedName name="OSRRefH16x_0" localSheetId="57">'315'!$H$53:$H$75</definedName>
    <definedName name="OSRRefH16x_0" localSheetId="62">'317'!$H$33:$H$46</definedName>
    <definedName name="OSRRefH16x_0" localSheetId="66">'321'!$H$18:$H$20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'326'!$H$36:$H$42</definedName>
    <definedName name="OSRRefH16x_0" localSheetId="69">'327'!$H$17:$H$18</definedName>
    <definedName name="OSRRefH16x_0" localSheetId="51">'330'!$H$29:$H$36</definedName>
    <definedName name="OSRRefH16x_0" localSheetId="56">'331'!$H$53:$H$76</definedName>
    <definedName name="OSRRefH16x_0" localSheetId="59">'332'!$H$27:$H$28</definedName>
    <definedName name="OSRRefH16x_0" localSheetId="73">'405'!$H$17:$H$18</definedName>
    <definedName name="OSRRefH16x_0" localSheetId="76">'412'!$H$16</definedName>
    <definedName name="OSRRefH16x_0" localSheetId="77">'413'!$H$17</definedName>
    <definedName name="OSRRefH16x_0" localSheetId="78">'414'!$H$18:$H$19</definedName>
    <definedName name="OSRRefH16x_0" localSheetId="79">'415'!$H$19:$H$21</definedName>
    <definedName name="OSRRefH16x_0" localSheetId="80">'418'!$H$17:$H$18</definedName>
    <definedName name="OSRRefH16x_0" localSheetId="84">'425'!$H$15</definedName>
    <definedName name="OSRRefH16x_0" localSheetId="88">'433'!$H$19:$H$21</definedName>
    <definedName name="OSRRefH16x_0" localSheetId="90">'444'!$H$19:$H$21</definedName>
    <definedName name="OSRRefH16x_0" localSheetId="91">'450'!$H$17</definedName>
    <definedName name="OSRRefH16x_0" localSheetId="72">'491'!$H$21:$H$23</definedName>
    <definedName name="OSRRefH16x_0" localSheetId="86">'492'!$H$19:$H$21</definedName>
    <definedName name="OSRRefH16x_0" localSheetId="47">'Div 3'!$H$82:$H$122</definedName>
    <definedName name="OSRRefH16x_0" localSheetId="70">'Div 4'!$H$23:$H$25</definedName>
    <definedName name="OSRRefH16x_0" localSheetId="61">'Div 6'!$H$33:$H$46</definedName>
    <definedName name="OSRRefH16x_0" localSheetId="2">Summary!$H$101:$H$150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'300'!$H$124:$H$133</definedName>
    <definedName name="OSRRefH22_0x_0" localSheetId="49">'300 &amp; 317'!$H$147:$H$156</definedName>
    <definedName name="OSRRefH22_0x_0" localSheetId="50">'301'!$H$20:$H$29</definedName>
    <definedName name="OSRRefH22_0x_0" localSheetId="52">'307'!$H$39:$H$46</definedName>
    <definedName name="OSRRefH22_0x_0" localSheetId="53">'308'!$H$59:$H$68</definedName>
    <definedName name="OSRRefH22_0x_0" localSheetId="64">'309'!$H$22:$H$29</definedName>
    <definedName name="OSRRefH22_0x_0" localSheetId="63">'310'!$H$31:$H$39</definedName>
    <definedName name="OSRRefH22_0x_0" localSheetId="71">'310 &amp; 491'!$H$35:$H$43</definedName>
    <definedName name="OSRRefH22_0x_0" localSheetId="54">'311'!$H$58:$H$67</definedName>
    <definedName name="OSRRefH22_0x_0" localSheetId="65">'313'!$H$27:$H$35</definedName>
    <definedName name="OSRRefH22_0x_0" localSheetId="57">'315'!$H$81:$H$89</definedName>
    <definedName name="OSRRefH22_0x_0" localSheetId="60">'316'!$H$32:$H$40</definedName>
    <definedName name="OSRRefH22_0x_0" localSheetId="62">'317'!$H$52:$H$61</definedName>
    <definedName name="OSRRefH22_0x_0" localSheetId="66">'321'!$H$26:$H$34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'326'!$H$48:$H$56</definedName>
    <definedName name="OSRRefH22_0x_0" localSheetId="69">'327'!$H$24</definedName>
    <definedName name="OSRRefH22_0x_0" localSheetId="51">'330'!$H$42:$H$50</definedName>
    <definedName name="OSRRefH22_0x_0" localSheetId="56">'331'!$H$82:$H$90</definedName>
    <definedName name="OSRRefH22_0x_0" localSheetId="59">'332'!$H$34:$H$42</definedName>
    <definedName name="OSRRefH22_0x_0" localSheetId="73">'405'!$H$24:$H$31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7">'413'!$H$23:$H$31</definedName>
    <definedName name="OSRRefH22_0x_0" localSheetId="78">'414'!$H$25:$H$33</definedName>
    <definedName name="OSRRefH22_0x_0" localSheetId="79">'415'!$H$27:$H$35</definedName>
    <definedName name="OSRRefH22_0x_0" localSheetId="80">'418'!$H$24:$H$31</definedName>
    <definedName name="OSRRefH22_0x_0" localSheetId="81">'420'!$H$21</definedName>
    <definedName name="OSRRefH22_0x_0" localSheetId="82">'423'!$H$20:$H$27</definedName>
    <definedName name="OSRRefH22_0x_0" localSheetId="83">'424'!$H$20</definedName>
    <definedName name="OSRRefH22_0x_0" localSheetId="84">'425'!$H$21:$H$25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'450'!$H$23:$H$32</definedName>
    <definedName name="OSRRefH22_0x_0" localSheetId="72">'491'!$H$29:$H$37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3'!$H$128:$H$137</definedName>
    <definedName name="OSRRefH22_0x_0" localSheetId="70">'Div 4'!$H$31:$H$40</definedName>
    <definedName name="OSRRefH22_0x_0" localSheetId="92">'Div 5'!$H$21:$H$30</definedName>
    <definedName name="OSRRefH22_0x_0" localSheetId="61">'Div 6'!$H$52:$H$61</definedName>
    <definedName name="OSRRefH22_0x_0" localSheetId="2">Summary!$H$156:$H$165</definedName>
    <definedName name="OSRRefH22_10x_0" localSheetId="41">'201'!$H$59:$H$61</definedName>
    <definedName name="OSRRefH22_10x_0" localSheetId="42">'202'!$H$63</definedName>
    <definedName name="OSRRefH22_10x_0" localSheetId="43">'203'!$H$62</definedName>
    <definedName name="OSRRefH22_10x_0" localSheetId="44">'204'!$H$62:$H$63</definedName>
    <definedName name="OSRRefH22_10x_0" localSheetId="48">'300'!$H$166:$H$167</definedName>
    <definedName name="OSRRefH22_10x_0" localSheetId="49">'300 &amp; 317'!$H$189:$H$190</definedName>
    <definedName name="OSRRefH22_10x_0" localSheetId="50">'301'!$H$60</definedName>
    <definedName name="OSRRefH22_10x_0" localSheetId="52">'307'!$H$77:$H$78</definedName>
    <definedName name="OSRRefH22_10x_0" localSheetId="53">'308'!$H$101:$H$102</definedName>
    <definedName name="OSRRefH22_10x_0" localSheetId="64">'309'!$H$62</definedName>
    <definedName name="OSRRefH22_10x_0" localSheetId="63">'310'!$H$69</definedName>
    <definedName name="OSRRefH22_10x_0" localSheetId="71">'310 &amp; 491'!$H$75</definedName>
    <definedName name="OSRRefH22_10x_0" localSheetId="54">'311'!$H$100:$H$101</definedName>
    <definedName name="OSRRefH22_10x_0" localSheetId="65">'313'!$H$68</definedName>
    <definedName name="OSRRefH22_10x_0" localSheetId="57">'315'!$H$120</definedName>
    <definedName name="OSRRefH22_10x_0" localSheetId="60">'316'!$H$75</definedName>
    <definedName name="OSRRefH22_10x_0" localSheetId="62">'317'!$H$92:$H$95</definedName>
    <definedName name="OSRRefH22_10x_0" localSheetId="66">'321'!$H$66:$H$68</definedName>
    <definedName name="OSRRefH22_10x_0" localSheetId="67">'322'!$H$64</definedName>
    <definedName name="OSRRefH22_10x_0" localSheetId="68">'325'!$H$62</definedName>
    <definedName name="OSRRefH22_10x_0" localSheetId="58">'326'!$H$86</definedName>
    <definedName name="OSRRefH22_10x_0" localSheetId="51">'330'!$H$81:$H$82</definedName>
    <definedName name="OSRRefH22_10x_0" localSheetId="56">'331'!$H$121</definedName>
    <definedName name="OSRRefH22_10x_0" localSheetId="59">'332'!$H$77</definedName>
    <definedName name="OSRRefH22_10x_0" localSheetId="73">'405'!$H$62</definedName>
    <definedName name="OSRRefH22_10x_0" localSheetId="75">'411'!$H$61:$H$64</definedName>
    <definedName name="OSRRefH22_10x_0" localSheetId="76">'412'!$H$60:$H$63</definedName>
    <definedName name="OSRRefH22_10x_0" localSheetId="77">'413'!$H$64:$H$71</definedName>
    <definedName name="OSRRefH22_10x_0" localSheetId="78">'414'!$H$63</definedName>
    <definedName name="OSRRefH22_10x_0" localSheetId="79">'415'!$H$65</definedName>
    <definedName name="OSRRefH22_10x_0" localSheetId="80">'418'!$H$64:$H$65</definedName>
    <definedName name="OSRRefH22_10x_0" localSheetId="88">'433'!$H$65</definedName>
    <definedName name="OSRRefH22_10x_0" localSheetId="90">'444'!$H$65</definedName>
    <definedName name="OSRRefH22_10x_0" localSheetId="91">'450'!$H$61</definedName>
    <definedName name="OSRRefH22_10x_0" localSheetId="72">'491'!$H$68</definedName>
    <definedName name="OSRRefH22_10x_0" localSheetId="86">'492'!$H$65</definedName>
    <definedName name="OSRRefH22_10x_0" localSheetId="93">'501'!$H$63:$H$64</definedName>
    <definedName name="OSRRefH22_10x_0" localSheetId="39">'Div 2'!$H$63</definedName>
    <definedName name="OSRRefH22_10x_0" localSheetId="47">'Div 3'!$H$170:$H$171</definedName>
    <definedName name="OSRRefH22_10x_0" localSheetId="70">'Div 4'!$H$71</definedName>
    <definedName name="OSRRefH22_10x_0" localSheetId="92">'Div 5'!$H$63:$H$64</definedName>
    <definedName name="OSRRefH22_10x_0" localSheetId="61">'Div 6'!$H$92:$H$95</definedName>
    <definedName name="OSRRefH22_10x_0" localSheetId="2">Summary!$H$199:$H$200</definedName>
    <definedName name="OSRRefH22_11x_0" localSheetId="41">'201'!$H$63:$H$64</definedName>
    <definedName name="OSRRefH22_11x_0" localSheetId="42">'202'!$H$65</definedName>
    <definedName name="OSRRefH22_11x_0" localSheetId="43">'203'!$H$64:$H$66</definedName>
    <definedName name="OSRRefH22_11x_0" localSheetId="44">'204'!$H$65</definedName>
    <definedName name="OSRRefH22_11x_0" localSheetId="48">'300'!$H$169:$H$171</definedName>
    <definedName name="OSRRefH22_11x_0" localSheetId="49">'300 &amp; 317'!$H$192:$H$194</definedName>
    <definedName name="OSRRefH22_11x_0" localSheetId="50">'301'!$H$62</definedName>
    <definedName name="OSRRefH22_11x_0" localSheetId="52">'307'!$H$80:$H$83</definedName>
    <definedName name="OSRRefH22_11x_0" localSheetId="53">'308'!$H$104:$H$106</definedName>
    <definedName name="OSRRefH22_11x_0" localSheetId="63">'310'!$H$71</definedName>
    <definedName name="OSRRefH22_11x_0" localSheetId="71">'310 &amp; 491'!$H$77</definedName>
    <definedName name="OSRRefH22_11x_0" localSheetId="54">'311'!$H$103:$H$105</definedName>
    <definedName name="OSRRefH22_11x_0" localSheetId="65">'313'!$H$70</definedName>
    <definedName name="OSRRefH22_11x_0" localSheetId="57">'315'!$H$122</definedName>
    <definedName name="OSRRefH22_11x_0" localSheetId="60">'316'!$H$77</definedName>
    <definedName name="OSRRefH22_11x_0" localSheetId="62">'317'!$H$97</definedName>
    <definedName name="OSRRefH22_11x_0" localSheetId="66">'321'!$H$70:$H$71</definedName>
    <definedName name="OSRRefH22_11x_0" localSheetId="67">'322'!$H$66</definedName>
    <definedName name="OSRRefH22_11x_0" localSheetId="68">'325'!$H$64:$H$67</definedName>
    <definedName name="OSRRefH22_11x_0" localSheetId="58">'326'!$H$88</definedName>
    <definedName name="OSRRefH22_11x_0" localSheetId="51">'330'!$H$84:$H$87</definedName>
    <definedName name="OSRRefH22_11x_0" localSheetId="56">'331'!$H$123:$H$124</definedName>
    <definedName name="OSRRefH22_11x_0" localSheetId="59">'332'!$H$79</definedName>
    <definedName name="OSRRefH22_11x_0" localSheetId="73">'405'!$H$64:$H$67</definedName>
    <definedName name="OSRRefH22_11x_0" localSheetId="75">'411'!$H$66:$H$67</definedName>
    <definedName name="OSRRefH22_11x_0" localSheetId="76">'412'!$H$65:$H$69</definedName>
    <definedName name="OSRRefH22_11x_0" localSheetId="77">'413'!$H$73:$H$74</definedName>
    <definedName name="OSRRefH22_11x_0" localSheetId="78">'414'!$H$65</definedName>
    <definedName name="OSRRefH22_11x_0" localSheetId="79">'415'!$H$67:$H$68</definedName>
    <definedName name="OSRRefH22_11x_0" localSheetId="80">'418'!$H$67:$H$76</definedName>
    <definedName name="OSRRefH22_11x_0" localSheetId="88">'433'!$H$67:$H$69</definedName>
    <definedName name="OSRRefH22_11x_0" localSheetId="90">'444'!$H$67:$H$70</definedName>
    <definedName name="OSRRefH22_11x_0" localSheetId="91">'450'!$H$63</definedName>
    <definedName name="OSRRefH22_11x_0" localSheetId="72">'491'!$H$70</definedName>
    <definedName name="OSRRefH22_11x_0" localSheetId="86">'492'!$H$67</definedName>
    <definedName name="OSRRefH22_11x_0" localSheetId="93">'501'!$H$66</definedName>
    <definedName name="OSRRefH22_11x_0" localSheetId="39">'Div 2'!$H$65:$H$66</definedName>
    <definedName name="OSRRefH22_11x_0" localSheetId="47">'Div 3'!$H$173:$H$175</definedName>
    <definedName name="OSRRefH22_11x_0" localSheetId="70">'Div 4'!$H$73</definedName>
    <definedName name="OSRRefH22_11x_0" localSheetId="92">'Div 5'!$H$66</definedName>
    <definedName name="OSRRefH22_11x_0" localSheetId="61">'Div 6'!$H$97</definedName>
    <definedName name="OSRRefH22_11x_0" localSheetId="2">Summary!$H$202:$H$204</definedName>
    <definedName name="OSRRefH22_12x_0" localSheetId="41">'201'!$H$66</definedName>
    <definedName name="OSRRefH22_12x_0" localSheetId="42">'202'!$H$67</definedName>
    <definedName name="OSRRefH22_12x_0" localSheetId="43">'203'!$H$68</definedName>
    <definedName name="OSRRefH22_12x_0" localSheetId="44">'204'!$H$67</definedName>
    <definedName name="OSRRefH22_12x_0" localSheetId="48">'300'!$H$173</definedName>
    <definedName name="OSRRefH22_12x_0" localSheetId="49">'300 &amp; 317'!$H$196</definedName>
    <definedName name="OSRRefH22_12x_0" localSheetId="50">'301'!$H$64</definedName>
    <definedName name="OSRRefH22_12x_0" localSheetId="52">'307'!$H$85:$H$86</definedName>
    <definedName name="OSRRefH22_12x_0" localSheetId="53">'308'!$H$108:$H$109</definedName>
    <definedName name="OSRRefH22_12x_0" localSheetId="63">'310'!$H$73</definedName>
    <definedName name="OSRRefH22_12x_0" localSheetId="71">'310 &amp; 491'!$H$79</definedName>
    <definedName name="OSRRefH22_12x_0" localSheetId="54">'311'!$H$107:$H$108</definedName>
    <definedName name="OSRRefH22_12x_0" localSheetId="57">'315'!$H$124:$H$126</definedName>
    <definedName name="OSRRefH22_12x_0" localSheetId="62">'317'!$H$99</definedName>
    <definedName name="OSRRefH22_12x_0" localSheetId="66">'321'!$H$73</definedName>
    <definedName name="OSRRefH22_12x_0" localSheetId="68">'325'!$H$69:$H$71</definedName>
    <definedName name="OSRRefH22_12x_0" localSheetId="58">'326'!$H$90</definedName>
    <definedName name="OSRRefH22_12x_0" localSheetId="51">'330'!$H$89:$H$90</definedName>
    <definedName name="OSRRefH22_12x_0" localSheetId="56">'331'!$H$126</definedName>
    <definedName name="OSRRefH22_12x_0" localSheetId="73">'405'!$H$69</definedName>
    <definedName name="OSRRefH22_12x_0" localSheetId="75">'411'!$H$69:$H$75</definedName>
    <definedName name="OSRRefH22_12x_0" localSheetId="76">'412'!$H$71:$H$72</definedName>
    <definedName name="OSRRefH22_12x_0" localSheetId="77">'413'!$H$76</definedName>
    <definedName name="OSRRefH22_12x_0" localSheetId="78">'414'!$H$67:$H$69</definedName>
    <definedName name="OSRRefH22_12x_0" localSheetId="79">'415'!$H$70:$H$74</definedName>
    <definedName name="OSRRefH22_12x_0" localSheetId="80">'418'!$H$78:$H$79</definedName>
    <definedName name="OSRRefH22_12x_0" localSheetId="88">'433'!$H$71:$H$74</definedName>
    <definedName name="OSRRefH22_12x_0" localSheetId="90">'444'!$H$72:$H$75</definedName>
    <definedName name="OSRRefH22_12x_0" localSheetId="91">'450'!$H$65</definedName>
    <definedName name="OSRRefH22_12x_0" localSheetId="72">'491'!$H$72</definedName>
    <definedName name="OSRRefH22_12x_0" localSheetId="86">'492'!$H$69:$H$72</definedName>
    <definedName name="OSRRefH22_12x_0" localSheetId="93">'501'!$H$68</definedName>
    <definedName name="OSRRefH22_12x_0" localSheetId="39">'Div 2'!$H$68:$H$71</definedName>
    <definedName name="OSRRefH22_12x_0" localSheetId="47">'Div 3'!$H$177</definedName>
    <definedName name="OSRRefH22_12x_0" localSheetId="70">'Div 4'!$H$75</definedName>
    <definedName name="OSRRefH22_12x_0" localSheetId="92">'Div 5'!$H$68</definedName>
    <definedName name="OSRRefH22_12x_0" localSheetId="61">'Div 6'!$H$99</definedName>
    <definedName name="OSRRefH22_12x_0" localSheetId="2">Summary!$H$206</definedName>
    <definedName name="OSRRefH22_13x_0" localSheetId="41">'201'!$H$68:$H$70</definedName>
    <definedName name="OSRRefH22_13x_0" localSheetId="43">'203'!$H$70</definedName>
    <definedName name="OSRRefH22_13x_0" localSheetId="48">'300'!$H$175:$H$176</definedName>
    <definedName name="OSRRefH22_13x_0" localSheetId="49">'300 &amp; 317'!$H$198:$H$199</definedName>
    <definedName name="OSRRefH22_13x_0" localSheetId="50">'301'!$H$66</definedName>
    <definedName name="OSRRefH22_13x_0" localSheetId="52">'307'!$H$88</definedName>
    <definedName name="OSRRefH22_13x_0" localSheetId="53">'308'!$H$111</definedName>
    <definedName name="OSRRefH22_13x_0" localSheetId="63">'310'!$H$75:$H$78</definedName>
    <definedName name="OSRRefH22_13x_0" localSheetId="71">'310 &amp; 491'!$H$81:$H$84</definedName>
    <definedName name="OSRRefH22_13x_0" localSheetId="54">'311'!$H$110</definedName>
    <definedName name="OSRRefH22_13x_0" localSheetId="57">'315'!$H$128:$H$129</definedName>
    <definedName name="OSRRefH22_13x_0" localSheetId="66">'321'!$H$75</definedName>
    <definedName name="OSRRefH22_13x_0" localSheetId="68">'325'!$H$73</definedName>
    <definedName name="OSRRefH22_13x_0" localSheetId="58">'326'!$H$92:$H$94</definedName>
    <definedName name="OSRRefH22_13x_0" localSheetId="51">'330'!$H$92</definedName>
    <definedName name="OSRRefH22_13x_0" localSheetId="56">'331'!$H$128</definedName>
    <definedName name="OSRRefH22_13x_0" localSheetId="73">'405'!$H$71:$H$79</definedName>
    <definedName name="OSRRefH22_13x_0" localSheetId="75">'411'!$H$77</definedName>
    <definedName name="OSRRefH22_13x_0" localSheetId="76">'412'!$H$74</definedName>
    <definedName name="OSRRefH22_13x_0" localSheetId="78">'414'!$H$71</definedName>
    <definedName name="OSRRefH22_13x_0" localSheetId="79">'415'!$H$76</definedName>
    <definedName name="OSRRefH22_13x_0" localSheetId="80">'418'!$H$81</definedName>
    <definedName name="OSRRefH22_13x_0" localSheetId="88">'433'!$H$76:$H$83</definedName>
    <definedName name="OSRRefH22_13x_0" localSheetId="90">'444'!$H$77</definedName>
    <definedName name="OSRRefH22_13x_0" localSheetId="91">'450'!$H$67:$H$69</definedName>
    <definedName name="OSRRefH22_13x_0" localSheetId="72">'491'!$H$74:$H$77</definedName>
    <definedName name="OSRRefH22_13x_0" localSheetId="86">'492'!$H$74:$H$77</definedName>
    <definedName name="OSRRefH22_13x_0" localSheetId="39">'Div 2'!$H$73:$H$76</definedName>
    <definedName name="OSRRefH22_13x_0" localSheetId="47">'Div 3'!$H$179</definedName>
    <definedName name="OSRRefH22_13x_0" localSheetId="70">'Div 4'!$H$77</definedName>
    <definedName name="OSRRefH22_13x_0" localSheetId="2">Summary!$H$208</definedName>
    <definedName name="OSRRefH22_14x_0" localSheetId="41">'201'!$H$72</definedName>
    <definedName name="OSRRefH22_14x_0" localSheetId="43">'203'!$H$72</definedName>
    <definedName name="OSRRefH22_14x_0" localSheetId="48">'300'!$H$178</definedName>
    <definedName name="OSRRefH22_14x_0" localSheetId="49">'300 &amp; 317'!$H$201</definedName>
    <definedName name="OSRRefH22_14x_0" localSheetId="50">'301'!$H$68:$H$71</definedName>
    <definedName name="OSRRefH22_14x_0" localSheetId="53">'308'!$H$113</definedName>
    <definedName name="OSRRefH22_14x_0" localSheetId="63">'310'!$H$80:$H$81</definedName>
    <definedName name="OSRRefH22_14x_0" localSheetId="71">'310 &amp; 491'!$H$86:$H$87</definedName>
    <definedName name="OSRRefH22_14x_0" localSheetId="54">'311'!$H$112</definedName>
    <definedName name="OSRRefH22_14x_0" localSheetId="57">'315'!$H$131:$H$137</definedName>
    <definedName name="OSRRefH22_14x_0" localSheetId="68">'325'!$H$75:$H$79</definedName>
    <definedName name="OSRRefH22_14x_0" localSheetId="58">'326'!$H$96:$H$98</definedName>
    <definedName name="OSRRefH22_14x_0" localSheetId="56">'331'!$H$130:$H$132</definedName>
    <definedName name="OSRRefH22_14x_0" localSheetId="73">'405'!$H$81</definedName>
    <definedName name="OSRRefH22_14x_0" localSheetId="75">'411'!$H$79</definedName>
    <definedName name="OSRRefH22_14x_0" localSheetId="78">'414'!$H$73</definedName>
    <definedName name="OSRRefH22_14x_0" localSheetId="79">'415'!$H$78:$H$85</definedName>
    <definedName name="OSRRefH22_14x_0" localSheetId="88">'433'!$H$85</definedName>
    <definedName name="OSRRefH22_14x_0" localSheetId="90">'444'!$H$79:$H$87</definedName>
    <definedName name="OSRRefH22_14x_0" localSheetId="91">'450'!$H$71:$H$77</definedName>
    <definedName name="OSRRefH22_14x_0" localSheetId="72">'491'!$H$79:$H$80</definedName>
    <definedName name="OSRRefH22_14x_0" localSheetId="86">'492'!$H$79</definedName>
    <definedName name="OSRRefH22_14x_0" localSheetId="39">'Div 2'!$H$78:$H$79</definedName>
    <definedName name="OSRRefH22_14x_0" localSheetId="47">'Div 3'!$H$181:$H$182</definedName>
    <definedName name="OSRRefH22_14x_0" localSheetId="70">'Div 4'!$H$79</definedName>
    <definedName name="OSRRefH22_14x_0" localSheetId="2">Summary!$H$210:$H$211</definedName>
    <definedName name="OSRRefH22_15x_0" localSheetId="41">'201'!$H$74</definedName>
    <definedName name="OSRRefH22_15x_0" localSheetId="48">'300'!$H$180</definedName>
    <definedName name="OSRRefH22_15x_0" localSheetId="49">'300 &amp; 317'!$H$203</definedName>
    <definedName name="OSRRefH22_15x_0" localSheetId="50">'301'!$H$73:$H$75</definedName>
    <definedName name="OSRRefH22_15x_0" localSheetId="63">'310'!$H$83:$H$86</definedName>
    <definedName name="OSRRefH22_15x_0" localSheetId="71">'310 &amp; 491'!$H$89:$H$93</definedName>
    <definedName name="OSRRefH22_15x_0" localSheetId="57">'315'!$H$139</definedName>
    <definedName name="OSRRefH22_15x_0" localSheetId="68">'325'!$H$81:$H$82</definedName>
    <definedName name="OSRRefH22_15x_0" localSheetId="58">'326'!$H$100:$H$101</definedName>
    <definedName name="OSRRefH22_15x_0" localSheetId="56">'331'!$H$134:$H$136</definedName>
    <definedName name="OSRRefH22_15x_0" localSheetId="73">'405'!$H$83</definedName>
    <definedName name="OSRRefH22_15x_0" localSheetId="75">'411'!$H$81</definedName>
    <definedName name="OSRRefH22_15x_0" localSheetId="78">'414'!$H$75</definedName>
    <definedName name="OSRRefH22_15x_0" localSheetId="79">'415'!$H$87:$H$88</definedName>
    <definedName name="OSRRefH22_15x_0" localSheetId="88">'433'!$H$87</definedName>
    <definedName name="OSRRefH22_15x_0" localSheetId="90">'444'!$H$89:$H$90</definedName>
    <definedName name="OSRRefH22_15x_0" localSheetId="91">'450'!$H$79:$H$80</definedName>
    <definedName name="OSRRefH22_15x_0" localSheetId="72">'491'!$H$82:$H$86</definedName>
    <definedName name="OSRRefH22_15x_0" localSheetId="86">'492'!$H$81:$H$90</definedName>
    <definedName name="OSRRefH22_15x_0" localSheetId="39">'Div 2'!$H$81:$H$82</definedName>
    <definedName name="OSRRefH22_15x_0" localSheetId="47">'Div 3'!$H$184</definedName>
    <definedName name="OSRRefH22_15x_0" localSheetId="70">'Div 4'!$H$81:$H$84</definedName>
    <definedName name="OSRRefH22_15x_0" localSheetId="2">Summary!$H$213</definedName>
    <definedName name="OSRRefH22_16x_0" localSheetId="41">'201'!$H$76</definedName>
    <definedName name="OSRRefH22_16x_0" localSheetId="48">'300'!$H$182:$H$185</definedName>
    <definedName name="OSRRefH22_16x_0" localSheetId="49">'300 &amp; 317'!$H$205:$H$208</definedName>
    <definedName name="OSRRefH22_16x_0" localSheetId="50">'301'!$H$77</definedName>
    <definedName name="OSRRefH22_16x_0" localSheetId="63">'310'!$H$88</definedName>
    <definedName name="OSRRefH22_16x_0" localSheetId="71">'310 &amp; 491'!$H$95:$H$96</definedName>
    <definedName name="OSRRefH22_16x_0" localSheetId="57">'315'!$H$141</definedName>
    <definedName name="OSRRefH22_16x_0" localSheetId="68">'325'!$H$84</definedName>
    <definedName name="OSRRefH22_16x_0" localSheetId="58">'326'!$H$103:$H$108</definedName>
    <definedName name="OSRRefH22_16x_0" localSheetId="56">'331'!$H$138:$H$140</definedName>
    <definedName name="OSRRefH22_16x_0" localSheetId="73">'405'!$H$85</definedName>
    <definedName name="OSRRefH22_16x_0" localSheetId="79">'415'!$H$90</definedName>
    <definedName name="OSRRefH22_16x_0" localSheetId="90">'444'!$H$92</definedName>
    <definedName name="OSRRefH22_16x_0" localSheetId="91">'450'!$H$82</definedName>
    <definedName name="OSRRefH22_16x_0" localSheetId="72">'491'!$H$88:$H$89</definedName>
    <definedName name="OSRRefH22_16x_0" localSheetId="86">'492'!$H$92:$H$93</definedName>
    <definedName name="OSRRefH22_16x_0" localSheetId="39">'Div 2'!$H$84:$H$88</definedName>
    <definedName name="OSRRefH22_16x_0" localSheetId="47">'Div 3'!$H$186</definedName>
    <definedName name="OSRRefH22_16x_0" localSheetId="70">'Div 4'!$H$86:$H$87</definedName>
    <definedName name="OSRRefH22_16x_0" localSheetId="2">Summary!$H$215</definedName>
    <definedName name="OSRRefH22_17x_0" localSheetId="48">'300'!$H$187:$H$190</definedName>
    <definedName name="OSRRefH22_17x_0" localSheetId="49">'300 &amp; 317'!$H$210:$H$213</definedName>
    <definedName name="OSRRefH22_17x_0" localSheetId="50">'301'!$H$79:$H$85</definedName>
    <definedName name="OSRRefH22_17x_0" localSheetId="63">'310'!$H$90:$H$96</definedName>
    <definedName name="OSRRefH22_17x_0" localSheetId="71">'310 &amp; 491'!$H$98:$H$108</definedName>
    <definedName name="OSRRefH22_17x_0" localSheetId="57">'315'!$H$143:$H$144</definedName>
    <definedName name="OSRRefH22_17x_0" localSheetId="68">'325'!$H$86</definedName>
    <definedName name="OSRRefH22_17x_0" localSheetId="58">'326'!$H$110:$H$111</definedName>
    <definedName name="OSRRefH22_17x_0" localSheetId="56">'331'!$H$142:$H$143</definedName>
    <definedName name="OSRRefH22_17x_0" localSheetId="73">'405'!$H$87</definedName>
    <definedName name="OSRRefH22_17x_0" localSheetId="79">'415'!$H$92:$H$93</definedName>
    <definedName name="OSRRefH22_17x_0" localSheetId="72">'491'!$H$91:$H$101</definedName>
    <definedName name="OSRRefH22_17x_0" localSheetId="86">'492'!$H$95</definedName>
    <definedName name="OSRRefH22_17x_0" localSheetId="39">'Div 2'!$H$90:$H$91</definedName>
    <definedName name="OSRRefH22_17x_0" localSheetId="47">'Div 3'!$H$188:$H$191</definedName>
    <definedName name="OSRRefH22_17x_0" localSheetId="70">'Div 4'!$H$89:$H$93</definedName>
    <definedName name="OSRRefH22_17x_0" localSheetId="2">Summary!$H$217</definedName>
    <definedName name="OSRRefH22_18x_0" localSheetId="48">'300'!$H$192:$H$195</definedName>
    <definedName name="OSRRefH22_18x_0" localSheetId="49">'300 &amp; 317'!$H$215:$H$218</definedName>
    <definedName name="OSRRefH22_18x_0" localSheetId="50">'301'!$H$87</definedName>
    <definedName name="OSRRefH22_18x_0" localSheetId="63">'310'!$H$98:$H$99</definedName>
    <definedName name="OSRRefH22_18x_0" localSheetId="71">'310 &amp; 491'!$H$110:$H$111</definedName>
    <definedName name="OSRRefH22_18x_0" localSheetId="58">'326'!$H$113</definedName>
    <definedName name="OSRRefH22_18x_0" localSheetId="56">'331'!$H$145:$H$152</definedName>
    <definedName name="OSRRefH22_18x_0" localSheetId="79">'415'!$H$95</definedName>
    <definedName name="OSRRefH22_18x_0" localSheetId="72">'491'!$H$103:$H$104</definedName>
    <definedName name="OSRRefH22_18x_0" localSheetId="86">'492'!$H$97</definedName>
    <definedName name="OSRRefH22_18x_0" localSheetId="39">'Div 2'!$H$93</definedName>
    <definedName name="OSRRefH22_18x_0" localSheetId="47">'Div 3'!$H$193:$H$196</definedName>
    <definedName name="OSRRefH22_18x_0" localSheetId="70">'Div 4'!$H$95:$H$96</definedName>
    <definedName name="OSRRefH22_18x_0" localSheetId="2">Summary!$H$219:$H$222</definedName>
    <definedName name="OSRRefH22_19x_0" localSheetId="48">'300'!$H$197:$H$198</definedName>
    <definedName name="OSRRefH22_19x_0" localSheetId="49">'300 &amp; 317'!$H$220:$H$221</definedName>
    <definedName name="OSRRefH22_19x_0" localSheetId="50">'301'!$H$89</definedName>
    <definedName name="OSRRefH22_19x_0" localSheetId="63">'310'!$H$101</definedName>
    <definedName name="OSRRefH22_19x_0" localSheetId="71">'310 &amp; 491'!$H$113</definedName>
    <definedName name="OSRRefH22_19x_0" localSheetId="58">'326'!$H$115:$H$116</definedName>
    <definedName name="OSRRefH22_19x_0" localSheetId="56">'331'!$H$154:$H$155</definedName>
    <definedName name="OSRRefH22_19x_0" localSheetId="72">'491'!$H$106</definedName>
    <definedName name="OSRRefH22_19x_0" localSheetId="39">'Div 2'!$H$95:$H$96</definedName>
    <definedName name="OSRRefH22_19x_0" localSheetId="47">'Div 3'!$H$198:$H$202</definedName>
    <definedName name="OSRRefH22_19x_0" localSheetId="70">'Div 4'!$H$98:$H$108</definedName>
    <definedName name="OSRRefH22_19x_0" localSheetId="2">Summary!$H$224:$H$227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'300'!$H$135:$H$144</definedName>
    <definedName name="OSRRefH22_1x_0" localSheetId="49">'300 &amp; 317'!$H$158:$H$167</definedName>
    <definedName name="OSRRefH22_1x_0" localSheetId="50">'301'!$H$31:$H$40</definedName>
    <definedName name="OSRRefH22_1x_0" localSheetId="52">'307'!$H$48:$H$57</definedName>
    <definedName name="OSRRefH22_1x_0" localSheetId="53">'308'!$H$70:$H$79</definedName>
    <definedName name="OSRRefH22_1x_0" localSheetId="64">'309'!$H$31:$H$40</definedName>
    <definedName name="OSRRefH22_1x_0" localSheetId="63">'310'!$H$41:$H$50</definedName>
    <definedName name="OSRRefH22_1x_0" localSheetId="71">'310 &amp; 491'!$H$45:$H$54</definedName>
    <definedName name="OSRRefH22_1x_0" localSheetId="54">'311'!$H$69:$H$78</definedName>
    <definedName name="OSRRefH22_1x_0" localSheetId="65">'313'!$H$37:$H$46</definedName>
    <definedName name="OSRRefH22_1x_0" localSheetId="57">'315'!$H$91:$H$100</definedName>
    <definedName name="OSRRefH22_1x_0" localSheetId="60">'316'!$H$42:$H$51</definedName>
    <definedName name="OSRRefH22_1x_0" localSheetId="62">'317'!$H$63:$H$72</definedName>
    <definedName name="OSRRefH22_1x_0" localSheetId="66">'321'!$H$36:$H$45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'326'!$H$58:$H$67</definedName>
    <definedName name="OSRRefH22_1x_0" localSheetId="51">'330'!$H$52:$H$61</definedName>
    <definedName name="OSRRefH22_1x_0" localSheetId="56">'331'!$H$92:$H$101</definedName>
    <definedName name="OSRRefH22_1x_0" localSheetId="59">'332'!$H$44:$H$53</definedName>
    <definedName name="OSRRefH22_1x_0" localSheetId="73">'405'!$H$33:$H$42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7">'413'!$H$33:$H$42</definedName>
    <definedName name="OSRRefH22_1x_0" localSheetId="78">'414'!$H$35:$H$44</definedName>
    <definedName name="OSRRefH22_1x_0" localSheetId="79">'415'!$H$37:$H$46</definedName>
    <definedName name="OSRRefH22_1x_0" localSheetId="80">'418'!$H$33:$H$42</definedName>
    <definedName name="OSRRefH22_1x_0" localSheetId="81">'420'!$H$23</definedName>
    <definedName name="OSRRefH22_1x_0" localSheetId="82">'423'!$H$29:$H$38</definedName>
    <definedName name="OSRRefH22_1x_0" localSheetId="83">'424'!$H$22</definedName>
    <definedName name="OSRRefH22_1x_0" localSheetId="84">'425'!$H$27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'450'!$H$34:$H$43</definedName>
    <definedName name="OSRRefH22_1x_0" localSheetId="72">'491'!$H$39:$H$48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3'!$H$139:$H$148</definedName>
    <definedName name="OSRRefH22_1x_0" localSheetId="70">'Div 4'!$H$42:$H$51</definedName>
    <definedName name="OSRRefH22_1x_0" localSheetId="92">'Div 5'!$H$32:$H$41</definedName>
    <definedName name="OSRRefH22_1x_0" localSheetId="61">'Div 6'!$H$63:$H$72</definedName>
    <definedName name="OSRRefH22_1x_0" localSheetId="2">Summary!$H$167:$H$176</definedName>
    <definedName name="OSRRefH22_20x_0" localSheetId="48">'300'!$H$200:$H$208</definedName>
    <definedName name="OSRRefH22_20x_0" localSheetId="49">'300 &amp; 317'!$H$223:$H$231</definedName>
    <definedName name="OSRRefH22_20x_0" localSheetId="50">'301'!$H$91:$H$92</definedName>
    <definedName name="OSRRefH22_20x_0" localSheetId="63">'310'!$H$103</definedName>
    <definedName name="OSRRefH22_20x_0" localSheetId="71">'310 &amp; 491'!$H$115:$H$117</definedName>
    <definedName name="OSRRefH22_20x_0" localSheetId="58">'326'!$H$118</definedName>
    <definedName name="OSRRefH22_20x_0" localSheetId="56">'331'!$H$157</definedName>
    <definedName name="OSRRefH22_20x_0" localSheetId="72">'491'!$H$108:$H$110</definedName>
    <definedName name="OSRRefH22_20x_0" localSheetId="47">'Div 3'!$H$204:$H$205</definedName>
    <definedName name="OSRRefH22_20x_0" localSheetId="70">'Div 4'!$H$110:$H$111</definedName>
    <definedName name="OSRRefH22_20x_0" localSheetId="2">Summary!$H$229:$H$233</definedName>
    <definedName name="OSRRefH22_21x_0" localSheetId="48">'300'!$H$210:$H$211</definedName>
    <definedName name="OSRRefH22_21x_0" localSheetId="49">'300 &amp; 317'!$H$233:$H$234</definedName>
    <definedName name="OSRRefH22_21x_0" localSheetId="50">'301'!$H$94</definedName>
    <definedName name="OSRRefH22_21x_0" localSheetId="63">'310'!$H$105</definedName>
    <definedName name="OSRRefH22_21x_0" localSheetId="71">'310 &amp; 491'!$H$119</definedName>
    <definedName name="OSRRefH22_21x_0" localSheetId="56">'331'!$H$159:$H$160</definedName>
    <definedName name="OSRRefH22_21x_0" localSheetId="72">'491'!$H$112</definedName>
    <definedName name="OSRRefH22_21x_0" localSheetId="47">'Div 3'!$H$207:$H$215</definedName>
    <definedName name="OSRRefH22_21x_0" localSheetId="70">'Div 4'!$H$113</definedName>
    <definedName name="OSRRefH22_21x_0" localSheetId="2">Summary!$H$235:$H$236</definedName>
    <definedName name="OSRRefH22_22x_0" localSheetId="48">'300'!$H$213</definedName>
    <definedName name="OSRRefH22_22x_0" localSheetId="49">'300 &amp; 317'!$H$236</definedName>
    <definedName name="OSRRefH22_22x_0" localSheetId="56">'331'!$H$162</definedName>
    <definedName name="OSRRefH22_22x_0" localSheetId="47">'Div 3'!$H$217:$H$218</definedName>
    <definedName name="OSRRefH22_22x_0" localSheetId="70">'Div 4'!$H$115:$H$117</definedName>
    <definedName name="OSRRefH22_22x_0" localSheetId="2">Summary!$H$238:$H$248</definedName>
    <definedName name="OSRRefH22_23x_0" localSheetId="48">'300'!$H$215:$H$217</definedName>
    <definedName name="OSRRefH22_23x_0" localSheetId="49">'300 &amp; 317'!$H$238:$H$240</definedName>
    <definedName name="OSRRefH22_23x_0" localSheetId="47">'Div 3'!$H$220</definedName>
    <definedName name="OSRRefH22_23x_0" localSheetId="70">'Div 4'!$H$119</definedName>
    <definedName name="OSRRefH22_23x_0" localSheetId="2">Summary!$H$250:$H$251</definedName>
    <definedName name="OSRRefH22_24x_0" localSheetId="48">'300'!$H$219</definedName>
    <definedName name="OSRRefH22_24x_0" localSheetId="49">'300 &amp; 317'!$H$242</definedName>
    <definedName name="OSRRefH22_24x_0" localSheetId="47">'Div 3'!$H$222:$H$224</definedName>
    <definedName name="OSRRefH22_24x_0" localSheetId="2">Summary!$H$253</definedName>
    <definedName name="OSRRefH22_25x_0" localSheetId="47">'Div 3'!$H$226</definedName>
    <definedName name="OSRRefH22_25x_0" localSheetId="2">Summary!$H$255:$H$257</definedName>
    <definedName name="OSRRefH22_26x_0" localSheetId="2">Summary!$H$259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'300'!$H$146</definedName>
    <definedName name="OSRRefH22_2x_0" localSheetId="49">'300 &amp; 317'!$H$169</definedName>
    <definedName name="OSRRefH22_2x_0" localSheetId="50">'301'!$H$42</definedName>
    <definedName name="OSRRefH22_2x_0" localSheetId="52">'307'!$H$59</definedName>
    <definedName name="OSRRefH22_2x_0" localSheetId="53">'308'!$H$81</definedName>
    <definedName name="OSRRefH22_2x_0" localSheetId="64">'309'!$H$42</definedName>
    <definedName name="OSRRefH22_2x_0" localSheetId="63">'310'!$H$52</definedName>
    <definedName name="OSRRefH22_2x_0" localSheetId="71">'310 &amp; 491'!$H$56</definedName>
    <definedName name="OSRRefH22_2x_0" localSheetId="54">'311'!$H$80</definedName>
    <definedName name="OSRRefH22_2x_0" localSheetId="65">'313'!$H$48</definedName>
    <definedName name="OSRRefH22_2x_0" localSheetId="57">'315'!$H$102</definedName>
    <definedName name="OSRRefH22_2x_0" localSheetId="60">'316'!$H$53</definedName>
    <definedName name="OSRRefH22_2x_0" localSheetId="62">'317'!$H$74</definedName>
    <definedName name="OSRRefH22_2x_0" localSheetId="66">'321'!$H$47</definedName>
    <definedName name="OSRRefH22_2x_0" localSheetId="67">'322'!$H$43</definedName>
    <definedName name="OSRRefH22_2x_0" localSheetId="68">'325'!$H$45</definedName>
    <definedName name="OSRRefH22_2x_0" localSheetId="58">'326'!$H$69</definedName>
    <definedName name="OSRRefH22_2x_0" localSheetId="51">'330'!$H$63</definedName>
    <definedName name="OSRRefH22_2x_0" localSheetId="56">'331'!$H$103</definedName>
    <definedName name="OSRRefH22_2x_0" localSheetId="59">'332'!$H$55</definedName>
    <definedName name="OSRRefH22_2x_0" localSheetId="73">'405'!$H$44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7">'413'!$H$44</definedName>
    <definedName name="OSRRefH22_2x_0" localSheetId="78">'414'!$H$46</definedName>
    <definedName name="OSRRefH22_2x_0" localSheetId="79">'415'!$H$48</definedName>
    <definedName name="OSRRefH22_2x_0" localSheetId="80">'418'!$H$44</definedName>
    <definedName name="OSRRefH22_2x_0" localSheetId="82">'423'!$H$40</definedName>
    <definedName name="OSRRefH22_2x_0" localSheetId="83">'424'!$H$24</definedName>
    <definedName name="OSRRefH22_2x_0" localSheetId="84">'425'!$H$29</definedName>
    <definedName name="OSRRefH22_2x_0" localSheetId="87">'430'!$H$41</definedName>
    <definedName name="OSRRefH22_2x_0" localSheetId="88">'433'!$H$49</definedName>
    <definedName name="OSRRefH22_2x_0" localSheetId="90">'444'!$H$49</definedName>
    <definedName name="OSRRefH22_2x_0" localSheetId="91">'450'!$H$45</definedName>
    <definedName name="OSRRefH22_2x_0" localSheetId="72">'491'!$H$50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3'!$H$150</definedName>
    <definedName name="OSRRefH22_2x_0" localSheetId="70">'Div 4'!$H$53</definedName>
    <definedName name="OSRRefH22_2x_0" localSheetId="92">'Div 5'!$H$43</definedName>
    <definedName name="OSRRefH22_2x_0" localSheetId="61">'Div 6'!$H$74</definedName>
    <definedName name="OSRRefH22_2x_0" localSheetId="2">Summary!$H$178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'300'!$H$148:$H$149</definedName>
    <definedName name="OSRRefH22_3x_0" localSheetId="49">'300 &amp; 317'!$H$171:$H$172</definedName>
    <definedName name="OSRRefH22_3x_0" localSheetId="50">'301'!$H$44:$H$45</definedName>
    <definedName name="OSRRefH22_3x_0" localSheetId="52">'307'!$H$61</definedName>
    <definedName name="OSRRefH22_3x_0" localSheetId="53">'308'!$H$83:$H$84</definedName>
    <definedName name="OSRRefH22_3x_0" localSheetId="64">'309'!$H$44</definedName>
    <definedName name="OSRRefH22_3x_0" localSheetId="63">'310'!$H$54</definedName>
    <definedName name="OSRRefH22_3x_0" localSheetId="71">'310 &amp; 491'!$H$58</definedName>
    <definedName name="OSRRefH22_3x_0" localSheetId="54">'311'!$H$82:$H$83</definedName>
    <definedName name="OSRRefH22_3x_0" localSheetId="65">'313'!$H$50</definedName>
    <definedName name="OSRRefH22_3x_0" localSheetId="57">'315'!$H$104</definedName>
    <definedName name="OSRRefH22_3x_0" localSheetId="60">'316'!$H$55</definedName>
    <definedName name="OSRRefH22_3x_0" localSheetId="62">'317'!$H$76</definedName>
    <definedName name="OSRRefH22_3x_0" localSheetId="66">'321'!$H$49</definedName>
    <definedName name="OSRRefH22_3x_0" localSheetId="67">'322'!$H$45</definedName>
    <definedName name="OSRRefH22_3x_0" localSheetId="68">'325'!$H$47</definedName>
    <definedName name="OSRRefH22_3x_0" localSheetId="58">'326'!$H$71</definedName>
    <definedName name="OSRRefH22_3x_0" localSheetId="51">'330'!$H$65</definedName>
    <definedName name="OSRRefH22_3x_0" localSheetId="56">'331'!$H$105</definedName>
    <definedName name="OSRRefH22_3x_0" localSheetId="59">'332'!$H$57</definedName>
    <definedName name="OSRRefH22_3x_0" localSheetId="73">'405'!$H$46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7">'413'!$H$46</definedName>
    <definedName name="OSRRefH22_3x_0" localSheetId="78">'414'!$H$48</definedName>
    <definedName name="OSRRefH22_3x_0" localSheetId="79">'415'!$H$50</definedName>
    <definedName name="OSRRefH22_3x_0" localSheetId="80">'418'!$H$46</definedName>
    <definedName name="OSRRefH22_3x_0" localSheetId="82">'423'!$H$42:$H$43</definedName>
    <definedName name="OSRRefH22_3x_0" localSheetId="83">'424'!$H$26</definedName>
    <definedName name="OSRRefH22_3x_0" localSheetId="84">'425'!$H$31</definedName>
    <definedName name="OSRRefH22_3x_0" localSheetId="87">'430'!$H$43</definedName>
    <definedName name="OSRRefH22_3x_0" localSheetId="88">'433'!$H$51</definedName>
    <definedName name="OSRRefH22_3x_0" localSheetId="90">'444'!$H$51</definedName>
    <definedName name="OSRRefH22_3x_0" localSheetId="91">'450'!$H$47</definedName>
    <definedName name="OSRRefH22_3x_0" localSheetId="72">'491'!$H$52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3'!$H$152:$H$153</definedName>
    <definedName name="OSRRefH22_3x_0" localSheetId="70">'Div 4'!$H$55</definedName>
    <definedName name="OSRRefH22_3x_0" localSheetId="92">'Div 5'!$H$45</definedName>
    <definedName name="OSRRefH22_3x_0" localSheetId="61">'Div 6'!$H$76</definedName>
    <definedName name="OSRRefH22_3x_0" localSheetId="2">Summary!$H$180:$H$181</definedName>
    <definedName name="OSRRefH22_4x_0" localSheetId="40">'200'!$H$28:$H$29</definedName>
    <definedName name="OSRRefH22_4x_0" localSheetId="41">'201'!$H$46:$H$47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'300'!$H$151</definedName>
    <definedName name="OSRRefH22_4x_0" localSheetId="49">'300 &amp; 317'!$H$174</definedName>
    <definedName name="OSRRefH22_4x_0" localSheetId="50">'301'!$H$47</definedName>
    <definedName name="OSRRefH22_4x_0" localSheetId="52">'307'!$H$63</definedName>
    <definedName name="OSRRefH22_4x_0" localSheetId="53">'308'!$H$86</definedName>
    <definedName name="OSRRefH22_4x_0" localSheetId="64">'309'!$H$46</definedName>
    <definedName name="OSRRefH22_4x_0" localSheetId="63">'310'!$H$56</definedName>
    <definedName name="OSRRefH22_4x_0" localSheetId="71">'310 &amp; 491'!$H$60</definedName>
    <definedName name="OSRRefH22_4x_0" localSheetId="54">'311'!$H$85</definedName>
    <definedName name="OSRRefH22_4x_0" localSheetId="65">'313'!$H$52</definedName>
    <definedName name="OSRRefH22_4x_0" localSheetId="57">'315'!$H$106</definedName>
    <definedName name="OSRRefH22_4x_0" localSheetId="60">'316'!$H$57</definedName>
    <definedName name="OSRRefH22_4x_0" localSheetId="62">'317'!$H$78</definedName>
    <definedName name="OSRRefH22_4x_0" localSheetId="66">'321'!$H$51</definedName>
    <definedName name="OSRRefH22_4x_0" localSheetId="67">'322'!$H$47</definedName>
    <definedName name="OSRRefH22_4x_0" localSheetId="68">'325'!$H$49</definedName>
    <definedName name="OSRRefH22_4x_0" localSheetId="58">'326'!$H$73</definedName>
    <definedName name="OSRRefH22_4x_0" localSheetId="51">'330'!$H$67</definedName>
    <definedName name="OSRRefH22_4x_0" localSheetId="56">'331'!$H$107</definedName>
    <definedName name="OSRRefH22_4x_0" localSheetId="59">'332'!$H$59</definedName>
    <definedName name="OSRRefH22_4x_0" localSheetId="73">'405'!$H$48:$H$49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7">'413'!$H$48</definedName>
    <definedName name="OSRRefH22_4x_0" localSheetId="78">'414'!$H$50</definedName>
    <definedName name="OSRRefH22_4x_0" localSheetId="79">'415'!$H$52</definedName>
    <definedName name="OSRRefH22_4x_0" localSheetId="80">'418'!$H$48:$H$49</definedName>
    <definedName name="OSRRefH22_4x_0" localSheetId="82">'423'!$H$45</definedName>
    <definedName name="OSRRefH22_4x_0" localSheetId="84">'425'!$H$33:$H$34</definedName>
    <definedName name="OSRRefH22_4x_0" localSheetId="87">'430'!$H$45:$H$47</definedName>
    <definedName name="OSRRefH22_4x_0" localSheetId="88">'433'!$H$53</definedName>
    <definedName name="OSRRefH22_4x_0" localSheetId="90">'444'!$H$53</definedName>
    <definedName name="OSRRefH22_4x_0" localSheetId="91">'450'!$H$49</definedName>
    <definedName name="OSRRefH22_4x_0" localSheetId="72">'491'!$H$54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3'!$H$155</definedName>
    <definedName name="OSRRefH22_4x_0" localSheetId="70">'Div 4'!$H$57</definedName>
    <definedName name="OSRRefH22_4x_0" localSheetId="92">'Div 5'!$H$47</definedName>
    <definedName name="OSRRefH22_4x_0" localSheetId="61">'Div 6'!$H$78</definedName>
    <definedName name="OSRRefH22_4x_0" localSheetId="2">Summary!$H$183</definedName>
    <definedName name="OSRRefH22_5x_0" localSheetId="41">'201'!$H$49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'300'!$H$153:$H$154</definedName>
    <definedName name="OSRRefH22_5x_0" localSheetId="49">'300 &amp; 317'!$H$176:$H$177</definedName>
    <definedName name="OSRRefH22_5x_0" localSheetId="50">'301'!$H$49:$H$50</definedName>
    <definedName name="OSRRefH22_5x_0" localSheetId="52">'307'!$H$65:$H$66</definedName>
    <definedName name="OSRRefH22_5x_0" localSheetId="53">'308'!$H$88</definedName>
    <definedName name="OSRRefH22_5x_0" localSheetId="64">'309'!$H$48</definedName>
    <definedName name="OSRRefH22_5x_0" localSheetId="63">'310'!$H$58:$H$59</definedName>
    <definedName name="OSRRefH22_5x_0" localSheetId="71">'310 &amp; 491'!$H$62:$H$64</definedName>
    <definedName name="OSRRefH22_5x_0" localSheetId="54">'311'!$H$87</definedName>
    <definedName name="OSRRefH22_5x_0" localSheetId="65">'313'!$H$54</definedName>
    <definedName name="OSRRefH22_5x_0" localSheetId="57">'315'!$H$108</definedName>
    <definedName name="OSRRefH22_5x_0" localSheetId="60">'316'!$H$59</definedName>
    <definedName name="OSRRefH22_5x_0" localSheetId="62">'317'!$H$80</definedName>
    <definedName name="OSRRefH22_5x_0" localSheetId="66">'321'!$H$53</definedName>
    <definedName name="OSRRefH22_5x_0" localSheetId="67">'322'!$H$49</definedName>
    <definedName name="OSRRefH22_5x_0" localSheetId="68">'325'!$H$51:$H$52</definedName>
    <definedName name="OSRRefH22_5x_0" localSheetId="58">'326'!$H$75</definedName>
    <definedName name="OSRRefH22_5x_0" localSheetId="51">'330'!$H$69:$H$70</definedName>
    <definedName name="OSRRefH22_5x_0" localSheetId="56">'331'!$H$109</definedName>
    <definedName name="OSRRefH22_5x_0" localSheetId="59">'332'!$H$61</definedName>
    <definedName name="OSRRefH22_5x_0" localSheetId="73">'405'!$H$51</definedName>
    <definedName name="OSRRefH22_5x_0" localSheetId="75">'411'!$H$48</definedName>
    <definedName name="OSRRefH22_5x_0" localSheetId="76">'412'!$H$49</definedName>
    <definedName name="OSRRefH22_5x_0" localSheetId="77">'413'!$H$50</definedName>
    <definedName name="OSRRefH22_5x_0" localSheetId="78">'414'!$H$52</definedName>
    <definedName name="OSRRefH22_5x_0" localSheetId="79">'415'!$H$54:$H$55</definedName>
    <definedName name="OSRRefH22_5x_0" localSheetId="80">'418'!$H$51</definedName>
    <definedName name="OSRRefH22_5x_0" localSheetId="82">'423'!$H$47</definedName>
    <definedName name="OSRRefH22_5x_0" localSheetId="84">'425'!$H$36</definedName>
    <definedName name="OSRRefH22_5x_0" localSheetId="87">'430'!$H$49:$H$50</definedName>
    <definedName name="OSRRefH22_5x_0" localSheetId="88">'433'!$H$55</definedName>
    <definedName name="OSRRefH22_5x_0" localSheetId="90">'444'!$H$55</definedName>
    <definedName name="OSRRefH22_5x_0" localSheetId="91">'450'!$H$51</definedName>
    <definedName name="OSRRefH22_5x_0" localSheetId="72">'491'!$H$56:$H$58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3'!$H$157:$H$158</definedName>
    <definedName name="OSRRefH22_5x_0" localSheetId="70">'Div 4'!$H$59:$H$61</definedName>
    <definedName name="OSRRefH22_5x_0" localSheetId="92">'Div 5'!$H$49:$H$50</definedName>
    <definedName name="OSRRefH22_5x_0" localSheetId="61">'Div 6'!$H$80</definedName>
    <definedName name="OSRRefH22_5x_0" localSheetId="2">Summary!$H$185:$H$187</definedName>
    <definedName name="OSRRefH22_6x_0" localSheetId="41">'201'!$H$51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'205'!$H$50:$H$52</definedName>
    <definedName name="OSRRefH22_6x_0" localSheetId="46">'206'!$H$49</definedName>
    <definedName name="OSRRefH22_6x_0" localSheetId="48">'300'!$H$156:$H$157</definedName>
    <definedName name="OSRRefH22_6x_0" localSheetId="49">'300 &amp; 317'!$H$179:$H$180</definedName>
    <definedName name="OSRRefH22_6x_0" localSheetId="50">'301'!$H$52</definedName>
    <definedName name="OSRRefH22_6x_0" localSheetId="52">'307'!$H$68</definedName>
    <definedName name="OSRRefH22_6x_0" localSheetId="53">'308'!$H$90:$H$91</definedName>
    <definedName name="OSRRefH22_6x_0" localSheetId="64">'309'!$H$50</definedName>
    <definedName name="OSRRefH22_6x_0" localSheetId="63">'310'!$H$61</definedName>
    <definedName name="OSRRefH22_6x_0" localSheetId="71">'310 &amp; 491'!$H$66</definedName>
    <definedName name="OSRRefH22_6x_0" localSheetId="54">'311'!$H$89:$H$90</definedName>
    <definedName name="OSRRefH22_6x_0" localSheetId="65">'313'!$H$56:$H$57</definedName>
    <definedName name="OSRRefH22_6x_0" localSheetId="57">'315'!$H$110</definedName>
    <definedName name="OSRRefH22_6x_0" localSheetId="60">'316'!$H$61:$H$62</definedName>
    <definedName name="OSRRefH22_6x_0" localSheetId="62">'317'!$H$82:$H$83</definedName>
    <definedName name="OSRRefH22_6x_0" localSheetId="66">'321'!$H$55</definedName>
    <definedName name="OSRRefH22_6x_0" localSheetId="67">'322'!$H$51</definedName>
    <definedName name="OSRRefH22_6x_0" localSheetId="68">'325'!$H$54</definedName>
    <definedName name="OSRRefH22_6x_0" localSheetId="58">'326'!$H$77</definedName>
    <definedName name="OSRRefH22_6x_0" localSheetId="51">'330'!$H$72</definedName>
    <definedName name="OSRRefH22_6x_0" localSheetId="56">'331'!$H$111</definedName>
    <definedName name="OSRRefH22_6x_0" localSheetId="59">'332'!$H$63:$H$64</definedName>
    <definedName name="OSRRefH22_6x_0" localSheetId="73">'405'!$H$53</definedName>
    <definedName name="OSRRefH22_6x_0" localSheetId="75">'411'!$H$50</definedName>
    <definedName name="OSRRefH22_6x_0" localSheetId="76">'412'!$H$51</definedName>
    <definedName name="OSRRefH22_6x_0" localSheetId="77">'413'!$H$52</definedName>
    <definedName name="OSRRefH22_6x_0" localSheetId="78">'414'!$H$54</definedName>
    <definedName name="OSRRefH22_6x_0" localSheetId="79">'415'!$H$57</definedName>
    <definedName name="OSRRefH22_6x_0" localSheetId="80">'418'!$H$53</definedName>
    <definedName name="OSRRefH22_6x_0" localSheetId="82">'423'!$H$49</definedName>
    <definedName name="OSRRefH22_6x_0" localSheetId="87">'430'!$H$52</definedName>
    <definedName name="OSRRefH22_6x_0" localSheetId="88">'433'!$H$57</definedName>
    <definedName name="OSRRefH22_6x_0" localSheetId="90">'444'!$H$57</definedName>
    <definedName name="OSRRefH22_6x_0" localSheetId="91">'450'!$H$53</definedName>
    <definedName name="OSRRefH22_6x_0" localSheetId="72">'491'!$H$60</definedName>
    <definedName name="OSRRefH22_6x_0" localSheetId="86">'492'!$H$57</definedName>
    <definedName name="OSRRefH22_6x_0" localSheetId="93">'501'!$H$52</definedName>
    <definedName name="OSRRefH22_6x_0" localSheetId="39">'Div 2'!$H$53:$H$54</definedName>
    <definedName name="OSRRefH22_6x_0" localSheetId="47">'Div 3'!$H$160:$H$161</definedName>
    <definedName name="OSRRefH22_6x_0" localSheetId="70">'Div 4'!$H$63</definedName>
    <definedName name="OSRRefH22_6x_0" localSheetId="92">'Div 5'!$H$52</definedName>
    <definedName name="OSRRefH22_6x_0" localSheetId="61">'Div 6'!$H$82:$H$83</definedName>
    <definedName name="OSRRefH22_6x_0" localSheetId="2">Summary!$H$189:$H$190</definedName>
    <definedName name="OSRRefH22_7x_0" localSheetId="41">'201'!$H$53</definedName>
    <definedName name="OSRRefH22_7x_0" localSheetId="42">'202'!$H$53:$H$55</definedName>
    <definedName name="OSRRefH22_7x_0" localSheetId="43">'203'!$H$52:$H$53</definedName>
    <definedName name="OSRRefH22_7x_0" localSheetId="44">'204'!$H$53:$H$55</definedName>
    <definedName name="OSRRefH22_7x_0" localSheetId="45">'205'!$H$54</definedName>
    <definedName name="OSRRefH22_7x_0" localSheetId="46">'206'!$H$51</definedName>
    <definedName name="OSRRefH22_7x_0" localSheetId="48">'300'!$H$159:$H$160</definedName>
    <definedName name="OSRRefH22_7x_0" localSheetId="49">'300 &amp; 317'!$H$182:$H$183</definedName>
    <definedName name="OSRRefH22_7x_0" localSheetId="50">'301'!$H$54</definedName>
    <definedName name="OSRRefH22_7x_0" localSheetId="52">'307'!$H$70</definedName>
    <definedName name="OSRRefH22_7x_0" localSheetId="53">'308'!$H$93:$H$94</definedName>
    <definedName name="OSRRefH22_7x_0" localSheetId="64">'309'!$H$52:$H$53</definedName>
    <definedName name="OSRRefH22_7x_0" localSheetId="63">'310'!$H$63</definedName>
    <definedName name="OSRRefH22_7x_0" localSheetId="71">'310 &amp; 491'!$H$68</definedName>
    <definedName name="OSRRefH22_7x_0" localSheetId="54">'311'!$H$92:$H$93</definedName>
    <definedName name="OSRRefH22_7x_0" localSheetId="65">'313'!$H$59</definedName>
    <definedName name="OSRRefH22_7x_0" localSheetId="57">'315'!$H$112:$H$113</definedName>
    <definedName name="OSRRefH22_7x_0" localSheetId="60">'316'!$H$64:$H$65</definedName>
    <definedName name="OSRRefH22_7x_0" localSheetId="62">'317'!$H$85</definedName>
    <definedName name="OSRRefH22_7x_0" localSheetId="66">'321'!$H$57:$H$58</definedName>
    <definedName name="OSRRefH22_7x_0" localSheetId="67">'322'!$H$53:$H$54</definedName>
    <definedName name="OSRRefH22_7x_0" localSheetId="68">'325'!$H$56</definedName>
    <definedName name="OSRRefH22_7x_0" localSheetId="58">'326'!$H$79</definedName>
    <definedName name="OSRRefH22_7x_0" localSheetId="51">'330'!$H$74</definedName>
    <definedName name="OSRRefH22_7x_0" localSheetId="56">'331'!$H$113</definedName>
    <definedName name="OSRRefH22_7x_0" localSheetId="59">'332'!$H$66:$H$67</definedName>
    <definedName name="OSRRefH22_7x_0" localSheetId="73">'405'!$H$55</definedName>
    <definedName name="OSRRefH22_7x_0" localSheetId="75">'411'!$H$52</definedName>
    <definedName name="OSRRefH22_7x_0" localSheetId="76">'412'!$H$53</definedName>
    <definedName name="OSRRefH22_7x_0" localSheetId="77">'413'!$H$54</definedName>
    <definedName name="OSRRefH22_7x_0" localSheetId="78">'414'!$H$56</definedName>
    <definedName name="OSRRefH22_7x_0" localSheetId="79">'415'!$H$59</definedName>
    <definedName name="OSRRefH22_7x_0" localSheetId="80">'418'!$H$55</definedName>
    <definedName name="OSRRefH22_7x_0" localSheetId="87">'430'!$H$54</definedName>
    <definedName name="OSRRefH22_7x_0" localSheetId="88">'433'!$H$59</definedName>
    <definedName name="OSRRefH22_7x_0" localSheetId="90">'444'!$H$59</definedName>
    <definedName name="OSRRefH22_7x_0" localSheetId="91">'450'!$H$55</definedName>
    <definedName name="OSRRefH22_7x_0" localSheetId="72">'491'!$H$62</definedName>
    <definedName name="OSRRefH22_7x_0" localSheetId="86">'492'!$H$59</definedName>
    <definedName name="OSRRefH22_7x_0" localSheetId="93">'501'!$H$54</definedName>
    <definedName name="OSRRefH22_7x_0" localSheetId="39">'Div 2'!$H$56</definedName>
    <definedName name="OSRRefH22_7x_0" localSheetId="47">'Div 3'!$H$163:$H$164</definedName>
    <definedName name="OSRRefH22_7x_0" localSheetId="70">'Div 4'!$H$65</definedName>
    <definedName name="OSRRefH22_7x_0" localSheetId="92">'Div 5'!$H$54</definedName>
    <definedName name="OSRRefH22_7x_0" localSheetId="61">'Div 6'!$H$85</definedName>
    <definedName name="OSRRefH22_7x_0" localSheetId="2">Summary!$H$192:$H$193</definedName>
    <definedName name="OSRRefH22_8x_0" localSheetId="41">'201'!$H$55</definedName>
    <definedName name="OSRRefH22_8x_0" localSheetId="42">'202'!$H$57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'300'!$H$162</definedName>
    <definedName name="OSRRefH22_8x_0" localSheetId="49">'300 &amp; 317'!$H$185</definedName>
    <definedName name="OSRRefH22_8x_0" localSheetId="50">'301'!$H$56</definedName>
    <definedName name="OSRRefH22_8x_0" localSheetId="52">'307'!$H$72</definedName>
    <definedName name="OSRRefH22_8x_0" localSheetId="53">'308'!$H$96</definedName>
    <definedName name="OSRRefH22_8x_0" localSheetId="64">'309'!$H$55:$H$56</definedName>
    <definedName name="OSRRefH22_8x_0" localSheetId="63">'310'!$H$65</definedName>
    <definedName name="OSRRefH22_8x_0" localSheetId="71">'310 &amp; 491'!$H$70:$H$71</definedName>
    <definedName name="OSRRefH22_8x_0" localSheetId="54">'311'!$H$95</definedName>
    <definedName name="OSRRefH22_8x_0" localSheetId="65">'313'!$H$61:$H$63</definedName>
    <definedName name="OSRRefH22_8x_0" localSheetId="57">'315'!$H$115</definedName>
    <definedName name="OSRRefH22_8x_0" localSheetId="60">'316'!$H$67</definedName>
    <definedName name="OSRRefH22_8x_0" localSheetId="62">'317'!$H$87</definedName>
    <definedName name="OSRRefH22_8x_0" localSheetId="66">'321'!$H$60:$H$61</definedName>
    <definedName name="OSRRefH22_8x_0" localSheetId="67">'322'!$H$56:$H$57</definedName>
    <definedName name="OSRRefH22_8x_0" localSheetId="68">'325'!$H$58</definedName>
    <definedName name="OSRRefH22_8x_0" localSheetId="58">'326'!$H$81:$H$82</definedName>
    <definedName name="OSRRefH22_8x_0" localSheetId="51">'330'!$H$76</definedName>
    <definedName name="OSRRefH22_8x_0" localSheetId="56">'331'!$H$115:$H$116</definedName>
    <definedName name="OSRRefH22_8x_0" localSheetId="59">'332'!$H$69</definedName>
    <definedName name="OSRRefH22_8x_0" localSheetId="73">'405'!$H$57</definedName>
    <definedName name="OSRRefH22_8x_0" localSheetId="75">'411'!$H$54</definedName>
    <definedName name="OSRRefH22_8x_0" localSheetId="76">'412'!$H$55:$H$56</definedName>
    <definedName name="OSRRefH22_8x_0" localSheetId="77">'413'!$H$56:$H$59</definedName>
    <definedName name="OSRRefH22_8x_0" localSheetId="78">'414'!$H$58:$H$59</definedName>
    <definedName name="OSRRefH22_8x_0" localSheetId="79">'415'!$H$61</definedName>
    <definedName name="OSRRefH22_8x_0" localSheetId="80">'418'!$H$57:$H$59</definedName>
    <definedName name="OSRRefH22_8x_0" localSheetId="88">'433'!$H$61</definedName>
    <definedName name="OSRRefH22_8x_0" localSheetId="90">'444'!$H$61</definedName>
    <definedName name="OSRRefH22_8x_0" localSheetId="91">'450'!$H$57</definedName>
    <definedName name="OSRRefH22_8x_0" localSheetId="72">'491'!$H$64</definedName>
    <definedName name="OSRRefH22_8x_0" localSheetId="86">'492'!$H$61</definedName>
    <definedName name="OSRRefH22_8x_0" localSheetId="93">'501'!$H$56</definedName>
    <definedName name="OSRRefH22_8x_0" localSheetId="39">'Div 2'!$H$58</definedName>
    <definedName name="OSRRefH22_8x_0" localSheetId="47">'Div 3'!$H$166</definedName>
    <definedName name="OSRRefH22_8x_0" localSheetId="70">'Div 4'!$H$67</definedName>
    <definedName name="OSRRefH22_8x_0" localSheetId="92">'Div 5'!$H$56</definedName>
    <definedName name="OSRRefH22_8x_0" localSheetId="61">'Div 6'!$H$87</definedName>
    <definedName name="OSRRefH22_8x_0" localSheetId="2">Summary!$H$195</definedName>
    <definedName name="OSRRefH22_9x_0" localSheetId="41">'201'!$H$57</definedName>
    <definedName name="OSRRefH22_9x_0" localSheetId="42">'202'!$H$59:$H$61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'300'!$H$164</definedName>
    <definedName name="OSRRefH22_9x_0" localSheetId="49">'300 &amp; 317'!$H$187</definedName>
    <definedName name="OSRRefH22_9x_0" localSheetId="50">'301'!$H$58</definedName>
    <definedName name="OSRRefH22_9x_0" localSheetId="52">'307'!$H$74:$H$75</definedName>
    <definedName name="OSRRefH22_9x_0" localSheetId="53">'308'!$H$98:$H$99</definedName>
    <definedName name="OSRRefH22_9x_0" localSheetId="64">'309'!$H$58:$H$60</definedName>
    <definedName name="OSRRefH22_9x_0" localSheetId="63">'310'!$H$67</definedName>
    <definedName name="OSRRefH22_9x_0" localSheetId="71">'310 &amp; 491'!$H$73</definedName>
    <definedName name="OSRRefH22_9x_0" localSheetId="54">'311'!$H$97:$H$98</definedName>
    <definedName name="OSRRefH22_9x_0" localSheetId="65">'313'!$H$65:$H$66</definedName>
    <definedName name="OSRRefH22_9x_0" localSheetId="57">'315'!$H$117:$H$118</definedName>
    <definedName name="OSRRefH22_9x_0" localSheetId="60">'316'!$H$69:$H$73</definedName>
    <definedName name="OSRRefH22_9x_0" localSheetId="62">'317'!$H$89:$H$90</definedName>
    <definedName name="OSRRefH22_9x_0" localSheetId="66">'321'!$H$63:$H$64</definedName>
    <definedName name="OSRRefH22_9x_0" localSheetId="67">'322'!$H$59:$H$62</definedName>
    <definedName name="OSRRefH22_9x_0" localSheetId="68">'325'!$H$60</definedName>
    <definedName name="OSRRefH22_9x_0" localSheetId="58">'326'!$H$84</definedName>
    <definedName name="OSRRefH22_9x_0" localSheetId="51">'330'!$H$78:$H$79</definedName>
    <definedName name="OSRRefH22_9x_0" localSheetId="56">'331'!$H$118:$H$119</definedName>
    <definedName name="OSRRefH22_9x_0" localSheetId="59">'332'!$H$71:$H$75</definedName>
    <definedName name="OSRRefH22_9x_0" localSheetId="73">'405'!$H$59:$H$60</definedName>
    <definedName name="OSRRefH22_9x_0" localSheetId="75">'411'!$H$56:$H$59</definedName>
    <definedName name="OSRRefH22_9x_0" localSheetId="76">'412'!$H$58</definedName>
    <definedName name="OSRRefH22_9x_0" localSheetId="77">'413'!$H$61:$H$62</definedName>
    <definedName name="OSRRefH22_9x_0" localSheetId="78">'414'!$H$61</definedName>
    <definedName name="OSRRefH22_9x_0" localSheetId="79">'415'!$H$63</definedName>
    <definedName name="OSRRefH22_9x_0" localSheetId="80">'418'!$H$61:$H$62</definedName>
    <definedName name="OSRRefH22_9x_0" localSheetId="88">'433'!$H$63</definedName>
    <definedName name="OSRRefH22_9x_0" localSheetId="90">'444'!$H$63</definedName>
    <definedName name="OSRRefH22_9x_0" localSheetId="91">'450'!$H$59</definedName>
    <definedName name="OSRRefH22_9x_0" localSheetId="72">'491'!$H$66</definedName>
    <definedName name="OSRRefH22_9x_0" localSheetId="86">'492'!$H$63</definedName>
    <definedName name="OSRRefH22_9x_0" localSheetId="93">'501'!$H$58:$H$61</definedName>
    <definedName name="OSRRefH22_9x_0" localSheetId="39">'Div 2'!$H$60:$H$61</definedName>
    <definedName name="OSRRefH22_9x_0" localSheetId="47">'Div 3'!$H$168</definedName>
    <definedName name="OSRRefH22_9x_0" localSheetId="70">'Div 4'!$H$69</definedName>
    <definedName name="OSRRefH22_9x_0" localSheetId="92">'Div 5'!$H$58:$H$61</definedName>
    <definedName name="OSRRefH22_9x_0" localSheetId="61">'Div 6'!$H$89:$H$90</definedName>
    <definedName name="OSRRefH22_9x_0" localSheetId="2">Summary!$H$197</definedName>
    <definedName name="OSRRefH22x_0" localSheetId="40">'200'!$H$20,'200'!$H$22,'200'!$H$24,'200'!$H$26,'200'!$H$28:$H$29</definedName>
    <definedName name="OSRRefH22x_0" localSheetId="41">'201'!$H$21:$H$29,'201'!$H$31:$H$40,'201'!$H$42,'201'!$H$44,'201'!$H$46:$H$47,'201'!$H$49,'201'!$H$51,'201'!$H$53,'201'!$H$55,'201'!$H$57,'201'!$H$59:$H$61,'201'!$H$63:$H$64,'201'!$H$66,'201'!$H$68:$H$70,'201'!$H$72,'201'!$H$74,'201'!$H$76</definedName>
    <definedName name="OSRRefH22x_0" localSheetId="42">'202'!$H$21:$H$29,'202'!$H$31:$H$40,'202'!$H$42,'202'!$H$44,'202'!$H$46:$H$47,'202'!$H$49,'202'!$H$51,'202'!$H$53:$H$55,'202'!$H$57,'202'!$H$59:$H$61,'202'!$H$63,'202'!$H$65,'202'!$H$67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$124:$H$133,'300'!$H$135:$H$144,'300'!$H$146,'300'!$H$148:$H$149,'300'!$H$151,'300'!$H$153:$H$154,'300'!$H$156:$H$157,'300'!$H$159:$H$160,'300'!$H$162,'300'!$H$164,'300'!$H$166:$H$167,'300'!$H$169:$H$171,'300'!$H$173,'300'!$H$175:$H$176,'300'!$H$178,'300'!$H$180,'300'!$H$182:$H$185,'300'!$H$187:$H$190,'300'!$H$192:$H$195,'300'!$H$197:$H$198,'300'!$H$200:$H$208,'300'!$H$210:$H$211,'300'!$H$213,'300'!$H$215:$H$217,'300'!$H$219</definedName>
    <definedName name="OSRRefH22x_0" localSheetId="49">'300 &amp; 317'!$H$147:$H$156,'300 &amp; 317'!$H$158:$H$167,'300 &amp; 317'!$H$169,'300 &amp; 317'!$H$171:$H$172,'300 &amp; 317'!$H$174,'300 &amp; 317'!$H$176:$H$177,'300 &amp; 317'!$H$179:$H$180,'300 &amp; 317'!$H$182:$H$183,'300 &amp; 317'!$H$185,'300 &amp; 317'!$H$187,'300 &amp; 317'!$H$189:$H$190,'300 &amp; 317'!$H$192:$H$194,'300 &amp; 317'!$H$196,'300 &amp; 317'!$H$198:$H$199,'300 &amp; 317'!$H$201,'300 &amp; 317'!$H$203,'300 &amp; 317'!$H$205:$H$208,'300 &amp; 317'!$H$210:$H$213,'300 &amp; 317'!$H$215:$H$218,'300 &amp; 317'!$H$220:$H$221,'300 &amp; 317'!$H$223:$H$231,'300 &amp; 317'!$H$233:$H$234,'300 &amp; 317'!$H$236,'300 &amp; 317'!$H$238:$H$240,'300 &amp; 317'!$H$242</definedName>
    <definedName name="OSRRefH22x_0" localSheetId="50">'301'!$H$20:$H$29,'301'!$H$31:$H$40,'301'!$H$42,'301'!$H$44:$H$45,'301'!$H$47,'301'!$H$49:$H$50,'301'!$H$52,'301'!$H$54,'301'!$H$56,'301'!$H$58,'301'!$H$60,'301'!$H$62,'301'!$H$64,'301'!$H$66,'301'!$H$68:$H$71,'301'!$H$73:$H$75,'301'!$H$77,'301'!$H$79:$H$85,'301'!$H$87,'301'!$H$89,'301'!$H$91:$H$92,'301'!$H$94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'308'!$H$59:$H$68,'308'!$H$70:$H$79,'308'!$H$81,'308'!$H$83:$H$84,'308'!$H$86,'308'!$H$88,'308'!$H$90:$H$91,'308'!$H$93:$H$94,'308'!$H$96,'308'!$H$98:$H$99,'308'!$H$101:$H$102,'308'!$H$104:$H$106,'308'!$H$108:$H$109,'308'!$H$111,'308'!$H$113</definedName>
    <definedName name="OSRRefH22x_0" localSheetId="64">'309'!$H$22:$H$29,'309'!$H$31:$H$40,'309'!$H$42,'309'!$H$44,'309'!$H$46,'309'!$H$48,'309'!$H$50,'309'!$H$52:$H$53,'309'!$H$55:$H$56,'309'!$H$58:$H$60,'309'!$H$62</definedName>
    <definedName name="OSRRefH22x_0" localSheetId="63">'310'!$H$31:$H$39,'310'!$H$41:$H$50,'310'!$H$52,'310'!$H$54,'310'!$H$56,'310'!$H$58:$H$59,'310'!$H$61,'310'!$H$63,'310'!$H$65,'310'!$H$67,'310'!$H$69,'310'!$H$71,'310'!$H$73,'310'!$H$75:$H$78,'310'!$H$80:$H$81,'310'!$H$83:$H$86,'310'!$H$88,'310'!$H$90:$H$96,'310'!$H$98:$H$99,'310'!$H$101,'310'!$H$103,'310'!$H$105</definedName>
    <definedName name="OSRRefH22x_0" localSheetId="71">'310 &amp; 491'!$H$35:$H$43,'310 &amp; 491'!$H$45:$H$54,'310 &amp; 491'!$H$56,'310 &amp; 491'!$H$58,'310 &amp; 491'!$H$60,'310 &amp; 491'!$H$62:$H$64,'310 &amp; 491'!$H$66,'310 &amp; 491'!$H$68,'310 &amp; 491'!$H$70:$H$71,'310 &amp; 491'!$H$73,'310 &amp; 491'!$H$75,'310 &amp; 491'!$H$77,'310 &amp; 491'!$H$79,'310 &amp; 491'!$H$81:$H$84,'310 &amp; 491'!$H$86:$H$87,'310 &amp; 491'!$H$89:$H$93,'310 &amp; 491'!$H$95:$H$96,'310 &amp; 491'!$H$98:$H$108,'310 &amp; 491'!$H$110:$H$111,'310 &amp; 491'!$H$113,'310 &amp; 491'!$H$115:$H$117,'310 &amp; 491'!$H$119</definedName>
    <definedName name="OSRRefH22x_0" localSheetId="54">'311'!$H$58:$H$67,'311'!$H$69:$H$78,'311'!$H$80,'311'!$H$82:$H$83,'311'!$H$85,'311'!$H$87,'311'!$H$89:$H$90,'311'!$H$92:$H$93,'311'!$H$95,'311'!$H$97:$H$98,'311'!$H$100:$H$101,'311'!$H$103:$H$105,'311'!$H$107:$H$108,'311'!$H$110,'311'!$H$112</definedName>
    <definedName name="OSRRefH22x_0" localSheetId="65">'313'!$H$27:$H$35,'313'!$H$37:$H$46,'313'!$H$48,'313'!$H$50,'313'!$H$52,'313'!$H$54,'313'!$H$56:$H$57,'313'!$H$59,'313'!$H$61:$H$63,'313'!$H$65:$H$66,'313'!$H$68,'313'!$H$70</definedName>
    <definedName name="OSRRefH22x_0" localSheetId="57">'315'!$H$81:$H$89,'315'!$H$91:$H$100,'315'!$H$102,'315'!$H$104,'315'!$H$106,'315'!$H$108,'315'!$H$110,'315'!$H$112:$H$113,'315'!$H$115,'315'!$H$117:$H$118,'315'!$H$120,'315'!$H$122,'315'!$H$124:$H$126,'315'!$H$128:$H$129,'315'!$H$131:$H$137,'315'!$H$139,'315'!$H$141,'315'!$H$143:$H$144</definedName>
    <definedName name="OSRRefH22x_0" localSheetId="60">'316'!$H$32:$H$40,'316'!$H$42:$H$51,'316'!$H$53,'316'!$H$55,'316'!$H$57,'316'!$H$59,'316'!$H$61:$H$62,'316'!$H$64:$H$65,'316'!$H$67,'316'!$H$69:$H$73,'316'!$H$75,'316'!$H$77</definedName>
    <definedName name="OSRRefH22x_0" localSheetId="62">'317'!$H$52:$H$61,'317'!$H$63:$H$72,'317'!$H$74,'317'!$H$76,'317'!$H$78,'317'!$H$80,'317'!$H$82:$H$83,'317'!$H$85,'317'!$H$87,'317'!$H$89:$H$90,'317'!$H$92:$H$95,'317'!$H$97,'317'!$H$99</definedName>
    <definedName name="OSRRefH22x_0" localSheetId="66">'321'!$H$26:$H$34,'321'!$H$36:$H$45,'321'!$H$47,'321'!$H$49,'321'!$H$51,'321'!$H$53,'321'!$H$55,'321'!$H$57:$H$58,'321'!$H$60:$H$61,'321'!$H$63:$H$64,'321'!$H$66:$H$68,'321'!$H$70:$H$71,'321'!$H$73,'321'!$H$75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8">'326'!$H$48:$H$56,'326'!$H$58:$H$67,'326'!$H$69,'326'!$H$71,'326'!$H$73,'326'!$H$75,'326'!$H$77,'326'!$H$79,'326'!$H$81:$H$82,'326'!$H$84,'326'!$H$86,'326'!$H$88,'326'!$H$90,'326'!$H$92:$H$94,'326'!$H$96:$H$98,'326'!$H$100:$H$101,'326'!$H$103:$H$108,'326'!$H$110:$H$111,'326'!$H$113,'326'!$H$115:$H$116,'326'!$H$118</definedName>
    <definedName name="OSRRefH22x_0" localSheetId="69">'327'!$H$24</definedName>
    <definedName name="OSRRefH22x_0" localSheetId="51">'330'!$H$42:$H$50,'330'!$H$52:$H$61,'330'!$H$63,'330'!$H$65,'330'!$H$67,'330'!$H$69:$H$70,'330'!$H$72,'330'!$H$74,'330'!$H$76,'330'!$H$78:$H$79,'330'!$H$81:$H$82,'330'!$H$84:$H$87,'330'!$H$89:$H$90,'330'!$H$92</definedName>
    <definedName name="OSRRefH22x_0" localSheetId="56">'331'!$H$82:$H$90,'331'!$H$92:$H$101,'331'!$H$103,'331'!$H$105,'331'!$H$107,'331'!$H$109,'331'!$H$111,'331'!$H$113,'331'!$H$115:$H$116,'331'!$H$118:$H$119,'331'!$H$121,'331'!$H$123:$H$124,'331'!$H$126,'331'!$H$128,'331'!$H$130:$H$132,'331'!$H$134:$H$136,'331'!$H$138:$H$140,'331'!$H$142:$H$143,'331'!$H$145:$H$152,'331'!$H$154:$H$155,'331'!$H$157,'331'!$H$159:$H$160,'331'!$H$162</definedName>
    <definedName name="OSRRefH22x_0" localSheetId="59">'332'!$H$34:$H$42,'332'!$H$44:$H$53,'332'!$H$55,'332'!$H$57,'332'!$H$59,'332'!$H$61,'332'!$H$63:$H$64,'332'!$H$66:$H$67,'332'!$H$69,'332'!$H$71:$H$75,'332'!$H$77,'332'!$H$79</definedName>
    <definedName name="OSRRefH22x_0" localSheetId="73">'405'!$H$24:$H$31,'405'!$H$33:$H$42,'405'!$H$44,'405'!$H$46,'405'!$H$48:$H$49,'405'!$H$51,'405'!$H$53,'405'!$H$55,'405'!$H$57,'405'!$H$59:$H$60,'405'!$H$62,'405'!$H$64:$H$67,'405'!$H$69,'405'!$H$71:$H$79,'405'!$H$81,'405'!$H$83,'405'!$H$85,'405'!$H$87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'411'!$H$20:$H$28,'411'!$H$30:$H$39,'411'!$H$41,'411'!$H$43,'411'!$H$45:$H$46,'411'!$H$48,'411'!$H$50,'411'!$H$52,'411'!$H$54,'411'!$H$56:$H$59,'411'!$H$61:$H$64,'411'!$H$66:$H$67,'411'!$H$69:$H$75,'411'!$H$77,'411'!$H$79,'411'!$H$81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7">'413'!$H$23:$H$31,'413'!$H$33:$H$42,'413'!$H$44,'413'!$H$46,'413'!$H$48,'413'!$H$50,'413'!$H$52,'413'!$H$54,'413'!$H$56:$H$59,'413'!$H$61:$H$62,'413'!$H$64:$H$71,'413'!$H$73:$H$74,'413'!$H$76</definedName>
    <definedName name="OSRRefH22x_0" localSheetId="78">'414'!$H$25:$H$33,'414'!$H$35:$H$44,'414'!$H$46,'414'!$H$48,'414'!$H$50,'414'!$H$52,'414'!$H$54,'414'!$H$56,'414'!$H$58:$H$59,'414'!$H$61,'414'!$H$63,'414'!$H$65,'414'!$H$67:$H$69,'414'!$H$71,'414'!$H$73,'414'!$H$75</definedName>
    <definedName name="OSRRefH22x_0" localSheetId="79">'415'!$H$27:$H$35,'415'!$H$37:$H$46,'415'!$H$48,'415'!$H$50,'415'!$H$52,'415'!$H$54:$H$55,'415'!$H$57,'415'!$H$59,'415'!$H$61,'415'!$H$63,'415'!$H$65,'415'!$H$67:$H$68,'415'!$H$70:$H$74,'415'!$H$76,'415'!$H$78:$H$85,'415'!$H$87:$H$88,'415'!$H$90,'415'!$H$92:$H$93,'415'!$H$95</definedName>
    <definedName name="OSRRefH22x_0" localSheetId="80">'418'!$H$24:$H$31,'418'!$H$33:$H$42,'418'!$H$44,'418'!$H$46,'418'!$H$48:$H$49,'418'!$H$51,'418'!$H$53,'418'!$H$55,'418'!$H$57:$H$59,'418'!$H$61:$H$62,'418'!$H$64:$H$65,'418'!$H$67:$H$76,'418'!$H$78:$H$79,'418'!$H$81</definedName>
    <definedName name="OSRRefH22x_0" localSheetId="81">'420'!$H$21,'420'!$H$23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'425'!$H$21:$H$25,'425'!$H$27,'425'!$H$29,'425'!$H$31,'425'!$H$33:$H$34,'425'!$H$36</definedName>
    <definedName name="OSRRefH22x_0" localSheetId="87">'430'!$H$20:$H$28,'430'!$H$30:$H$39,'430'!$H$41,'430'!$H$43,'430'!$H$45:$H$47,'430'!$H$49:$H$50,'430'!$H$52,'430'!$H$54</definedName>
    <definedName name="OSRRefH22x_0" localSheetId="88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'444'!$H$27:$H$36,'444'!$H$38:$H$47,'444'!$H$49,'444'!$H$51,'444'!$H$53,'444'!$H$55,'444'!$H$57,'444'!$H$59,'444'!$H$61,'444'!$H$63,'444'!$H$65,'444'!$H$67:$H$70,'444'!$H$72:$H$75,'444'!$H$77,'444'!$H$79:$H$87,'444'!$H$89:$H$90,'444'!$H$92</definedName>
    <definedName name="OSRRefH22x_0" localSheetId="91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$29:$H$37,'491'!$H$39:$H$48,'491'!$H$50,'491'!$H$52,'491'!$H$54,'491'!$H$56:$H$58,'491'!$H$60,'491'!$H$62,'491'!$H$64,'491'!$H$66,'491'!$H$68,'491'!$H$70,'491'!$H$72,'491'!$H$74:$H$77,'491'!$H$79:$H$80,'491'!$H$82:$H$86,'491'!$H$88:$H$89,'491'!$H$91:$H$101,'491'!$H$103:$H$104,'491'!$H$106,'491'!$H$108:$H$110,'491'!$H$112</definedName>
    <definedName name="OSRRefH22x_0" localSheetId="86">'492'!$H$27:$H$36,'492'!$H$38:$H$47,'492'!$H$49,'492'!$H$51,'492'!$H$53,'492'!$H$55,'492'!$H$57,'492'!$H$59,'492'!$H$61,'492'!$H$63,'492'!$H$65,'492'!$H$67,'492'!$H$69:$H$72,'492'!$H$74:$H$77,'492'!$H$79,'492'!$H$81:$H$90,'492'!$H$92:$H$93,'492'!$H$95,'492'!$H$97</definedName>
    <definedName name="OSRRefH22x_0" localSheetId="93">'501'!$H$21:$H$30,'501'!$H$32:$H$41,'501'!$H$43,'501'!$H$45,'501'!$H$47,'501'!$H$49:$H$50,'501'!$H$52,'501'!$H$54,'501'!$H$56,'501'!$H$58:$H$61,'501'!$H$63:$H$64,'501'!$H$66,'501'!$H$68</definedName>
    <definedName name="OSRRefH22x_0" localSheetId="39">'Div 2'!$H$21:$H$31,'Div 2'!$H$33:$H$42,'Div 2'!$H$44,'Div 2'!$H$46,'Div 2'!$H$48,'Div 2'!$H$50:$H$51,'Div 2'!$H$53:$H$54,'Div 2'!$H$56,'Div 2'!$H$58,'Div 2'!$H$60:$H$61,'Div 2'!$H$63,'Div 2'!$H$65:$H$66,'Div 2'!$H$68:$H$71,'Div 2'!$H$73:$H$76,'Div 2'!$H$78:$H$79,'Div 2'!$H$81:$H$82,'Div 2'!$H$84:$H$88,'Div 2'!$H$90:$H$91,'Div 2'!$H$93,'Div 2'!$H$95:$H$96</definedName>
    <definedName name="OSRRefH22x_0" localSheetId="47">'Div 3'!$H$128:$H$137,'Div 3'!$H$139:$H$148,'Div 3'!$H$150,'Div 3'!$H$152:$H$153,'Div 3'!$H$155,'Div 3'!$H$157:$H$158,'Div 3'!$H$160:$H$161,'Div 3'!$H$163:$H$164,'Div 3'!$H$166,'Div 3'!$H$168,'Div 3'!$H$170:$H$171,'Div 3'!$H$173:$H$175,'Div 3'!$H$177,'Div 3'!$H$179,'Div 3'!$H$181:$H$182,'Div 3'!$H$184,'Div 3'!$H$186,'Div 3'!$H$188:$H$191,'Div 3'!$H$193:$H$196,'Div 3'!$H$198:$H$202,'Div 3'!$H$204:$H$205,'Div 3'!$H$207:$H$215,'Div 3'!$H$217:$H$218,'Div 3'!$H$220,'Div 3'!$H$222:$H$224,'Div 3'!$H$226</definedName>
    <definedName name="OSRRefH22x_0" localSheetId="70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4'!$H$95:$H$96,'Div 4'!$H$98:$H$108,'Div 4'!$H$110:$H$111,'Div 4'!$H$113,'Div 4'!$H$115:$H$117,'Div 4'!$H$119</definedName>
    <definedName name="OSRRefH22x_0" localSheetId="92">'Div 5'!$H$21:$H$30,'Div 5'!$H$32:$H$41,'Div 5'!$H$43,'Div 5'!$H$45,'Div 5'!$H$47,'Div 5'!$H$49:$H$50,'Div 5'!$H$52,'Div 5'!$H$54,'Div 5'!$H$56,'Div 5'!$H$58:$H$61,'Div 5'!$H$63:$H$64,'Div 5'!$H$66,'Div 5'!$H$68</definedName>
    <definedName name="OSRRefH22x_0" localSheetId="61">'Div 6'!$H$52:$H$61,'Div 6'!$H$63:$H$72,'Div 6'!$H$74,'Div 6'!$H$76,'Div 6'!$H$78,'Div 6'!$H$80,'Div 6'!$H$82:$H$83,'Div 6'!$H$85,'Div 6'!$H$87,'Div 6'!$H$89:$H$90,'Div 6'!$H$92:$H$95,'Div 6'!$H$97,'Div 6'!$H$99</definedName>
    <definedName name="OSRRefH22x_0" localSheetId="2">Summary!$H$156:$H$165,Summary!$H$167:$H$176,Summary!$H$178,Summary!$H$180:$H$181,Summary!$H$183,Summary!$H$185:$H$187,Summary!$H$189:$H$190,Summary!$H$192:$H$193,Summary!$H$195,Summary!$H$197,Summary!$H$199:$H$200,Summary!$H$202:$H$204,Summary!$H$206,Summary!$H$208,Summary!$H$210:$H$211,Summary!$H$213,Summary!$H$215,Summary!$H$217,Summary!$H$219:$H$222,Summary!$H$224:$H$227,Summary!$H$229:$H$233,Summary!$H$235:$H$236,Summary!$H$238:$H$248,Summary!$H$250:$H$251,Summary!$H$253,Summary!$H$255:$H$257,Summary!$H$259</definedName>
    <definedName name="OSRRefH25x_0" localSheetId="42">'202'!$H$70:$H$72</definedName>
    <definedName name="OSRRefH25x_0" localSheetId="48">'300'!$H$222:$H$225</definedName>
    <definedName name="OSRRefH25x_0" localSheetId="49">'300 &amp; 317'!$H$245:$H$249</definedName>
    <definedName name="OSRRefH25x_0" localSheetId="50">'301'!$H$97:$H$98</definedName>
    <definedName name="OSRRefH25x_0" localSheetId="53">'308'!$H$116:$H$118</definedName>
    <definedName name="OSRRefH25x_0" localSheetId="71">'310 &amp; 491'!$H$122:$H$125</definedName>
    <definedName name="OSRRefH25x_0" localSheetId="54">'311'!$H$115:$H$117</definedName>
    <definedName name="OSRRefH25x_0" localSheetId="57">'315'!$H$147:$H$149</definedName>
    <definedName name="OSRRefH25x_0" localSheetId="60">'316'!$H$80</definedName>
    <definedName name="OSRRefH25x_0" localSheetId="62">'317'!$H$102:$H$103</definedName>
    <definedName name="OSRRefH25x_0" localSheetId="56">'331'!$H$165:$H$167</definedName>
    <definedName name="OSRRefH25x_0" localSheetId="59">'332'!$H$82:$H$83</definedName>
    <definedName name="OSRRefH25x_0" localSheetId="75">'411'!$H$84:$H$85</definedName>
    <definedName name="OSRRefH25x_0" localSheetId="80">'418'!$H$84</definedName>
    <definedName name="OSRRefH25x_0" localSheetId="82">'423'!$H$52:$H$54</definedName>
    <definedName name="OSRRefH25x_0" localSheetId="85">'455'!$H$21:$H$22</definedName>
    <definedName name="OSRRefH25x_0" localSheetId="72">'491'!$H$115:$H$118</definedName>
    <definedName name="OSRRefH25x_0" localSheetId="93">'501'!$H$71</definedName>
    <definedName name="OSRRefH25x_0" localSheetId="39">'Div 2'!$H$99:$H$101</definedName>
    <definedName name="OSRRefH25x_0" localSheetId="47">'Div 3'!$H$229:$H$232</definedName>
    <definedName name="OSRRefH25x_0" localSheetId="70">'Div 4'!$H$122:$H$125</definedName>
    <definedName name="OSRRefH25x_0" localSheetId="92">'Div 5'!$H$71</definedName>
    <definedName name="OSRRefH25x_0" localSheetId="61">'Div 6'!$H$102:$H$103</definedName>
    <definedName name="OSRRefH25x_0" localSheetId="2">Summary!$H$262:$H$268</definedName>
    <definedName name="OSRRefP13x_0" localSheetId="41">'201'!$P$13</definedName>
    <definedName name="OSRRefP13x_0" localSheetId="42">'202'!$P$13</definedName>
    <definedName name="OSRRefP13x_0" localSheetId="48">'300'!$P$13:$P$77</definedName>
    <definedName name="OSRRefP13x_0" localSheetId="49">'300 &amp; 317'!$P$13:$P$91</definedName>
    <definedName name="OSRRefP13x_0" localSheetId="52">'307'!$P$13:$P$23</definedName>
    <definedName name="OSRRefP13x_0" localSheetId="53">'308'!$P$13:$P$35</definedName>
    <definedName name="OSRRefP13x_0" localSheetId="64">'309'!$P$13</definedName>
    <definedName name="OSRRefP13x_0" localSheetId="63">'310'!$P$13:$P$20</definedName>
    <definedName name="OSRRefP13x_0" localSheetId="71">'310 &amp; 491'!$P$13:$P$24</definedName>
    <definedName name="OSRRefP13x_0" localSheetId="54">'311'!$P$13:$P$34</definedName>
    <definedName name="OSRRefP13x_0" localSheetId="65">'313'!$P$13:$P$17</definedName>
    <definedName name="OSRRefP13x_0" localSheetId="57">'315'!$P$13:$P$50</definedName>
    <definedName name="OSRRefP13x_0" localSheetId="60">'316'!$P$13:$P$24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'326'!$P$13:$P$33</definedName>
    <definedName name="OSRRefP13x_0" localSheetId="69">'327'!$P$13:$P$14</definedName>
    <definedName name="OSRRefP13x_0" localSheetId="51">'330'!$P$13:$P$26</definedName>
    <definedName name="OSRRefP13x_0" localSheetId="56">'331'!$P$13:$P$50</definedName>
    <definedName name="OSRRefP13x_0" localSheetId="59">'332'!$P$13:$P$24</definedName>
    <definedName name="OSRRefP13x_0" localSheetId="73">'405'!$P$13:$P$14</definedName>
    <definedName name="OSRRefP13x_0" localSheetId="76">'412'!$P$13</definedName>
    <definedName name="OSRRefP13x_0" localSheetId="77">'413'!$P$13:$P$14</definedName>
    <definedName name="OSRRefP13x_0" localSheetId="78">'414'!$P$13:$P$15</definedName>
    <definedName name="OSRRefP13x_0" localSheetId="79">'415'!$P$13:$P$16</definedName>
    <definedName name="OSRRefP13x_0" localSheetId="80">'418'!$P$13:$P$14</definedName>
    <definedName name="OSRRefP13x_0" localSheetId="81">'420'!$P$13</definedName>
    <definedName name="OSRRefP13x_0" localSheetId="88">'433'!$P$13:$P$16</definedName>
    <definedName name="OSRRefP13x_0" localSheetId="90">'444'!$P$13:$P$16</definedName>
    <definedName name="OSRRefP13x_0" localSheetId="91">'450'!$P$13:$P$14</definedName>
    <definedName name="OSRRefP13x_0" localSheetId="72">'491'!$P$13:$P$18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3'!$P$13:$P$79</definedName>
    <definedName name="OSRRefP13x_0" localSheetId="70">'Div 4'!$P$13:$P$20</definedName>
    <definedName name="OSRRefP13x_0" localSheetId="92">'Div 5'!$P$13</definedName>
    <definedName name="OSRRefP13x_0" localSheetId="61">'Div 6'!$P$13:$P$30</definedName>
    <definedName name="OSRRefP13x_0" localSheetId="2">Summary!$P$13:$P$98</definedName>
    <definedName name="OSRRefP16x_0" localSheetId="48">'300'!$P$80:$P$118</definedName>
    <definedName name="OSRRefP16x_0" localSheetId="49">'300 &amp; 317'!$P$94:$P$141</definedName>
    <definedName name="OSRRefP16x_0" localSheetId="52">'307'!$P$26:$P$33</definedName>
    <definedName name="OSRRefP16x_0" localSheetId="53">'308'!$P$38:$P$53</definedName>
    <definedName name="OSRRefP16x_0" localSheetId="64">'309'!$P$16</definedName>
    <definedName name="OSRRefP16x_0" localSheetId="63">'310'!$P$23:$P$25</definedName>
    <definedName name="OSRRefP16x_0" localSheetId="71">'310 &amp; 491'!$P$27:$P$29</definedName>
    <definedName name="OSRRefP16x_0" localSheetId="54">'311'!$P$37:$P$52</definedName>
    <definedName name="OSRRefP16x_0" localSheetId="65">'313'!$P$20:$P$21</definedName>
    <definedName name="OSRRefP16x_0" localSheetId="57">'315'!$P$53:$P$75</definedName>
    <definedName name="OSRRefP16x_0" localSheetId="62">'317'!$P$33:$P$46</definedName>
    <definedName name="OSRRefP16x_0" localSheetId="66">'321'!$P$18:$P$20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'326'!$P$36:$P$42</definedName>
    <definedName name="OSRRefP16x_0" localSheetId="69">'327'!$P$17:$P$18</definedName>
    <definedName name="OSRRefP16x_0" localSheetId="51">'330'!$P$29:$P$36</definedName>
    <definedName name="OSRRefP16x_0" localSheetId="56">'331'!$P$53:$P$76</definedName>
    <definedName name="OSRRefP16x_0" localSheetId="59">'332'!$P$27:$P$28</definedName>
    <definedName name="OSRRefP16x_0" localSheetId="73">'405'!$P$17:$P$18</definedName>
    <definedName name="OSRRefP16x_0" localSheetId="76">'412'!$P$16</definedName>
    <definedName name="OSRRefP16x_0" localSheetId="77">'413'!$P$17</definedName>
    <definedName name="OSRRefP16x_0" localSheetId="78">'414'!$P$18:$P$19</definedName>
    <definedName name="OSRRefP16x_0" localSheetId="79">'415'!$P$19:$P$21</definedName>
    <definedName name="OSRRefP16x_0" localSheetId="80">'418'!$P$17:$P$18</definedName>
    <definedName name="OSRRefP16x_0" localSheetId="84">'425'!$P$15</definedName>
    <definedName name="OSRRefP16x_0" localSheetId="88">'433'!$P$19:$P$21</definedName>
    <definedName name="OSRRefP16x_0" localSheetId="90">'444'!$P$19:$P$21</definedName>
    <definedName name="OSRRefP16x_0" localSheetId="91">'450'!$P$17</definedName>
    <definedName name="OSRRefP16x_0" localSheetId="72">'491'!$P$21:$P$23</definedName>
    <definedName name="OSRRefP16x_0" localSheetId="86">'492'!$P$19:$P$21</definedName>
    <definedName name="OSRRefP16x_0" localSheetId="47">'Div 3'!$P$82:$P$122</definedName>
    <definedName name="OSRRefP16x_0" localSheetId="70">'Div 4'!$P$23:$P$25</definedName>
    <definedName name="OSRRefP16x_0" localSheetId="61">'Div 6'!$P$33:$P$46</definedName>
    <definedName name="OSRRefP16x_0" localSheetId="2">Summary!$P$101:$P$150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'300'!$P$124:$P$133</definedName>
    <definedName name="OSRRefP22_0x_0" localSheetId="49">'300 &amp; 317'!$P$147:$P$156</definedName>
    <definedName name="OSRRefP22_0x_0" localSheetId="50">'301'!$P$20:$P$29</definedName>
    <definedName name="OSRRefP22_0x_0" localSheetId="52">'307'!$P$39:$P$46</definedName>
    <definedName name="OSRRefP22_0x_0" localSheetId="53">'308'!$P$59:$P$68</definedName>
    <definedName name="OSRRefP22_0x_0" localSheetId="64">'309'!$P$22:$P$29</definedName>
    <definedName name="OSRRefP22_0x_0" localSheetId="63">'310'!$P$31:$P$39</definedName>
    <definedName name="OSRRefP22_0x_0" localSheetId="71">'310 &amp; 491'!$P$35:$P$43</definedName>
    <definedName name="OSRRefP22_0x_0" localSheetId="54">'311'!$P$58:$P$67</definedName>
    <definedName name="OSRRefP22_0x_0" localSheetId="65">'313'!$P$27:$P$35</definedName>
    <definedName name="OSRRefP22_0x_0" localSheetId="57">'315'!$P$81:$P$89</definedName>
    <definedName name="OSRRefP22_0x_0" localSheetId="60">'316'!$P$32:$P$40</definedName>
    <definedName name="OSRRefP22_0x_0" localSheetId="62">'317'!$P$52:$P$61</definedName>
    <definedName name="OSRRefP22_0x_0" localSheetId="66">'321'!$P$26:$P$34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'326'!$P$48:$P$56</definedName>
    <definedName name="OSRRefP22_0x_0" localSheetId="69">'327'!$P$24</definedName>
    <definedName name="OSRRefP22_0x_0" localSheetId="51">'330'!$P$42:$P$50</definedName>
    <definedName name="OSRRefP22_0x_0" localSheetId="56">'331'!$P$82:$P$90</definedName>
    <definedName name="OSRRefP22_0x_0" localSheetId="59">'332'!$P$34:$P$42</definedName>
    <definedName name="OSRRefP22_0x_0" localSheetId="73">'405'!$P$24:$P$31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7">'413'!$P$23:$P$31</definedName>
    <definedName name="OSRRefP22_0x_0" localSheetId="78">'414'!$P$25:$P$33</definedName>
    <definedName name="OSRRefP22_0x_0" localSheetId="79">'415'!$P$27:$P$35</definedName>
    <definedName name="OSRRefP22_0x_0" localSheetId="80">'418'!$P$24:$P$31</definedName>
    <definedName name="OSRRefP22_0x_0" localSheetId="81">'420'!$P$21</definedName>
    <definedName name="OSRRefP22_0x_0" localSheetId="82">'423'!$P$20:$P$27</definedName>
    <definedName name="OSRRefP22_0x_0" localSheetId="83">'424'!$P$20</definedName>
    <definedName name="OSRRefP22_0x_0" localSheetId="84">'425'!$P$21:$P$25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'450'!$P$23:$P$32</definedName>
    <definedName name="OSRRefP22_0x_0" localSheetId="72">'491'!$P$29:$P$37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3'!$P$128:$P$137</definedName>
    <definedName name="OSRRefP22_0x_0" localSheetId="70">'Div 4'!$P$31:$P$40</definedName>
    <definedName name="OSRRefP22_0x_0" localSheetId="92">'Div 5'!$P$21:$P$30</definedName>
    <definedName name="OSRRefP22_0x_0" localSheetId="61">'Div 6'!$P$52:$P$61</definedName>
    <definedName name="OSRRefP22_0x_0" localSheetId="2">Summary!$P$156:$P$165</definedName>
    <definedName name="OSRRefP22_10x_0" localSheetId="41">'201'!$P$59:$P$61</definedName>
    <definedName name="OSRRefP22_10x_0" localSheetId="42">'202'!$P$63</definedName>
    <definedName name="OSRRefP22_10x_0" localSheetId="43">'203'!$P$62</definedName>
    <definedName name="OSRRefP22_10x_0" localSheetId="44">'204'!$P$62:$P$63</definedName>
    <definedName name="OSRRefP22_10x_0" localSheetId="48">'300'!$P$166:$P$167</definedName>
    <definedName name="OSRRefP22_10x_0" localSheetId="49">'300 &amp; 317'!$P$189:$P$190</definedName>
    <definedName name="OSRRefP22_10x_0" localSheetId="50">'301'!$P$60</definedName>
    <definedName name="OSRRefP22_10x_0" localSheetId="52">'307'!$P$77:$P$78</definedName>
    <definedName name="OSRRefP22_10x_0" localSheetId="53">'308'!$P$101:$P$102</definedName>
    <definedName name="OSRRefP22_10x_0" localSheetId="64">'309'!$P$62</definedName>
    <definedName name="OSRRefP22_10x_0" localSheetId="63">'310'!$P$69</definedName>
    <definedName name="OSRRefP22_10x_0" localSheetId="71">'310 &amp; 491'!$P$75</definedName>
    <definedName name="OSRRefP22_10x_0" localSheetId="54">'311'!$P$100:$P$101</definedName>
    <definedName name="OSRRefP22_10x_0" localSheetId="65">'313'!$P$68</definedName>
    <definedName name="OSRRefP22_10x_0" localSheetId="57">'315'!$P$120</definedName>
    <definedName name="OSRRefP22_10x_0" localSheetId="60">'316'!$P$75</definedName>
    <definedName name="OSRRefP22_10x_0" localSheetId="62">'317'!$P$92:$P$95</definedName>
    <definedName name="OSRRefP22_10x_0" localSheetId="66">'321'!$P$66:$P$68</definedName>
    <definedName name="OSRRefP22_10x_0" localSheetId="67">'322'!$P$64</definedName>
    <definedName name="OSRRefP22_10x_0" localSheetId="68">'325'!$P$62</definedName>
    <definedName name="OSRRefP22_10x_0" localSheetId="58">'326'!$P$86</definedName>
    <definedName name="OSRRefP22_10x_0" localSheetId="51">'330'!$P$81:$P$82</definedName>
    <definedName name="OSRRefP22_10x_0" localSheetId="56">'331'!$P$121</definedName>
    <definedName name="OSRRefP22_10x_0" localSheetId="59">'332'!$P$77</definedName>
    <definedName name="OSRRefP22_10x_0" localSheetId="73">'405'!$P$62</definedName>
    <definedName name="OSRRefP22_10x_0" localSheetId="75">'411'!$P$61:$P$64</definedName>
    <definedName name="OSRRefP22_10x_0" localSheetId="76">'412'!$P$60:$P$63</definedName>
    <definedName name="OSRRefP22_10x_0" localSheetId="77">'413'!$P$64:$P$71</definedName>
    <definedName name="OSRRefP22_10x_0" localSheetId="78">'414'!$P$63</definedName>
    <definedName name="OSRRefP22_10x_0" localSheetId="79">'415'!$P$65</definedName>
    <definedName name="OSRRefP22_10x_0" localSheetId="80">'418'!$P$64:$P$65</definedName>
    <definedName name="OSRRefP22_10x_0" localSheetId="88">'433'!$P$65</definedName>
    <definedName name="OSRRefP22_10x_0" localSheetId="90">'444'!$P$65</definedName>
    <definedName name="OSRRefP22_10x_0" localSheetId="91">'450'!$P$61</definedName>
    <definedName name="OSRRefP22_10x_0" localSheetId="72">'491'!$P$68</definedName>
    <definedName name="OSRRefP22_10x_0" localSheetId="86">'492'!$P$65</definedName>
    <definedName name="OSRRefP22_10x_0" localSheetId="93">'501'!$P$63:$P$64</definedName>
    <definedName name="OSRRefP22_10x_0" localSheetId="39">'Div 2'!$P$63</definedName>
    <definedName name="OSRRefP22_10x_0" localSheetId="47">'Div 3'!$P$170:$P$171</definedName>
    <definedName name="OSRRefP22_10x_0" localSheetId="70">'Div 4'!$P$71</definedName>
    <definedName name="OSRRefP22_10x_0" localSheetId="92">'Div 5'!$P$63:$P$64</definedName>
    <definedName name="OSRRefP22_10x_0" localSheetId="61">'Div 6'!$P$92:$P$95</definedName>
    <definedName name="OSRRefP22_10x_0" localSheetId="2">Summary!$P$199:$P$200</definedName>
    <definedName name="OSRRefP22_11x_0" localSheetId="41">'201'!$P$63:$P$64</definedName>
    <definedName name="OSRRefP22_11x_0" localSheetId="42">'202'!$P$65</definedName>
    <definedName name="OSRRefP22_11x_0" localSheetId="43">'203'!$P$64:$P$66</definedName>
    <definedName name="OSRRefP22_11x_0" localSheetId="44">'204'!$P$65</definedName>
    <definedName name="OSRRefP22_11x_0" localSheetId="48">'300'!$P$169:$P$171</definedName>
    <definedName name="OSRRefP22_11x_0" localSheetId="49">'300 &amp; 317'!$P$192:$P$194</definedName>
    <definedName name="OSRRefP22_11x_0" localSheetId="50">'301'!$P$62</definedName>
    <definedName name="OSRRefP22_11x_0" localSheetId="52">'307'!$P$80:$P$83</definedName>
    <definedName name="OSRRefP22_11x_0" localSheetId="53">'308'!$P$104:$P$106</definedName>
    <definedName name="OSRRefP22_11x_0" localSheetId="63">'310'!$P$71</definedName>
    <definedName name="OSRRefP22_11x_0" localSheetId="71">'310 &amp; 491'!$P$77</definedName>
    <definedName name="OSRRefP22_11x_0" localSheetId="54">'311'!$P$103:$P$105</definedName>
    <definedName name="OSRRefP22_11x_0" localSheetId="65">'313'!$P$70</definedName>
    <definedName name="OSRRefP22_11x_0" localSheetId="57">'315'!$P$122</definedName>
    <definedName name="OSRRefP22_11x_0" localSheetId="60">'316'!$P$77</definedName>
    <definedName name="OSRRefP22_11x_0" localSheetId="62">'317'!$P$97</definedName>
    <definedName name="OSRRefP22_11x_0" localSheetId="66">'321'!$P$70:$P$71</definedName>
    <definedName name="OSRRefP22_11x_0" localSheetId="67">'322'!$P$66</definedName>
    <definedName name="OSRRefP22_11x_0" localSheetId="68">'325'!$P$64:$P$67</definedName>
    <definedName name="OSRRefP22_11x_0" localSheetId="58">'326'!$P$88</definedName>
    <definedName name="OSRRefP22_11x_0" localSheetId="51">'330'!$P$84:$P$87</definedName>
    <definedName name="OSRRefP22_11x_0" localSheetId="56">'331'!$P$123:$P$124</definedName>
    <definedName name="OSRRefP22_11x_0" localSheetId="59">'332'!$P$79</definedName>
    <definedName name="OSRRefP22_11x_0" localSheetId="73">'405'!$P$64:$P$67</definedName>
    <definedName name="OSRRefP22_11x_0" localSheetId="75">'411'!$P$66:$P$67</definedName>
    <definedName name="OSRRefP22_11x_0" localSheetId="76">'412'!$P$65:$P$69</definedName>
    <definedName name="OSRRefP22_11x_0" localSheetId="77">'413'!$P$73:$P$74</definedName>
    <definedName name="OSRRefP22_11x_0" localSheetId="78">'414'!$P$65</definedName>
    <definedName name="OSRRefP22_11x_0" localSheetId="79">'415'!$P$67:$P$68</definedName>
    <definedName name="OSRRefP22_11x_0" localSheetId="80">'418'!$P$67:$P$76</definedName>
    <definedName name="OSRRefP22_11x_0" localSheetId="88">'433'!$P$67:$P$69</definedName>
    <definedName name="OSRRefP22_11x_0" localSheetId="90">'444'!$P$67:$P$70</definedName>
    <definedName name="OSRRefP22_11x_0" localSheetId="91">'450'!$P$63</definedName>
    <definedName name="OSRRefP22_11x_0" localSheetId="72">'491'!$P$70</definedName>
    <definedName name="OSRRefP22_11x_0" localSheetId="86">'492'!$P$67</definedName>
    <definedName name="OSRRefP22_11x_0" localSheetId="93">'501'!$P$66</definedName>
    <definedName name="OSRRefP22_11x_0" localSheetId="39">'Div 2'!$P$65:$P$66</definedName>
    <definedName name="OSRRefP22_11x_0" localSheetId="47">'Div 3'!$P$173:$P$175</definedName>
    <definedName name="OSRRefP22_11x_0" localSheetId="70">'Div 4'!$P$73</definedName>
    <definedName name="OSRRefP22_11x_0" localSheetId="92">'Div 5'!$P$66</definedName>
    <definedName name="OSRRefP22_11x_0" localSheetId="61">'Div 6'!$P$97</definedName>
    <definedName name="OSRRefP22_11x_0" localSheetId="2">Summary!$P$202:$P$204</definedName>
    <definedName name="OSRRefP22_12x_0" localSheetId="41">'201'!$P$66</definedName>
    <definedName name="OSRRefP22_12x_0" localSheetId="42">'202'!$P$67</definedName>
    <definedName name="OSRRefP22_12x_0" localSheetId="43">'203'!$P$68</definedName>
    <definedName name="OSRRefP22_12x_0" localSheetId="44">'204'!$P$67</definedName>
    <definedName name="OSRRefP22_12x_0" localSheetId="48">'300'!$P$173</definedName>
    <definedName name="OSRRefP22_12x_0" localSheetId="49">'300 &amp; 317'!$P$196</definedName>
    <definedName name="OSRRefP22_12x_0" localSheetId="50">'301'!$P$64</definedName>
    <definedName name="OSRRefP22_12x_0" localSheetId="52">'307'!$P$85:$P$86</definedName>
    <definedName name="OSRRefP22_12x_0" localSheetId="53">'308'!$P$108:$P$109</definedName>
    <definedName name="OSRRefP22_12x_0" localSheetId="63">'310'!$P$73</definedName>
    <definedName name="OSRRefP22_12x_0" localSheetId="71">'310 &amp; 491'!$P$79</definedName>
    <definedName name="OSRRefP22_12x_0" localSheetId="54">'311'!$P$107:$P$108</definedName>
    <definedName name="OSRRefP22_12x_0" localSheetId="57">'315'!$P$124:$P$126</definedName>
    <definedName name="OSRRefP22_12x_0" localSheetId="62">'317'!$P$99</definedName>
    <definedName name="OSRRefP22_12x_0" localSheetId="66">'321'!$P$73</definedName>
    <definedName name="OSRRefP22_12x_0" localSheetId="68">'325'!$P$69:$P$71</definedName>
    <definedName name="OSRRefP22_12x_0" localSheetId="58">'326'!$P$90</definedName>
    <definedName name="OSRRefP22_12x_0" localSheetId="51">'330'!$P$89:$P$90</definedName>
    <definedName name="OSRRefP22_12x_0" localSheetId="56">'331'!$P$126</definedName>
    <definedName name="OSRRefP22_12x_0" localSheetId="73">'405'!$P$69</definedName>
    <definedName name="OSRRefP22_12x_0" localSheetId="75">'411'!$P$69:$P$75</definedName>
    <definedName name="OSRRefP22_12x_0" localSheetId="76">'412'!$P$71:$P$72</definedName>
    <definedName name="OSRRefP22_12x_0" localSheetId="77">'413'!$P$76</definedName>
    <definedName name="OSRRefP22_12x_0" localSheetId="78">'414'!$P$67:$P$69</definedName>
    <definedName name="OSRRefP22_12x_0" localSheetId="79">'415'!$P$70:$P$74</definedName>
    <definedName name="OSRRefP22_12x_0" localSheetId="80">'418'!$P$78:$P$79</definedName>
    <definedName name="OSRRefP22_12x_0" localSheetId="88">'433'!$P$71:$P$74</definedName>
    <definedName name="OSRRefP22_12x_0" localSheetId="90">'444'!$P$72:$P$75</definedName>
    <definedName name="OSRRefP22_12x_0" localSheetId="91">'450'!$P$65</definedName>
    <definedName name="OSRRefP22_12x_0" localSheetId="72">'491'!$P$72</definedName>
    <definedName name="OSRRefP22_12x_0" localSheetId="86">'492'!$P$69:$P$72</definedName>
    <definedName name="OSRRefP22_12x_0" localSheetId="93">'501'!$P$68</definedName>
    <definedName name="OSRRefP22_12x_0" localSheetId="39">'Div 2'!$P$68:$P$71</definedName>
    <definedName name="OSRRefP22_12x_0" localSheetId="47">'Div 3'!$P$177</definedName>
    <definedName name="OSRRefP22_12x_0" localSheetId="70">'Div 4'!$P$75</definedName>
    <definedName name="OSRRefP22_12x_0" localSheetId="92">'Div 5'!$P$68</definedName>
    <definedName name="OSRRefP22_12x_0" localSheetId="61">'Div 6'!$P$99</definedName>
    <definedName name="OSRRefP22_12x_0" localSheetId="2">Summary!$P$206</definedName>
    <definedName name="OSRRefP22_13x_0" localSheetId="41">'201'!$P$68:$P$70</definedName>
    <definedName name="OSRRefP22_13x_0" localSheetId="43">'203'!$P$70</definedName>
    <definedName name="OSRRefP22_13x_0" localSheetId="48">'300'!$P$175:$P$176</definedName>
    <definedName name="OSRRefP22_13x_0" localSheetId="49">'300 &amp; 317'!$P$198:$P$199</definedName>
    <definedName name="OSRRefP22_13x_0" localSheetId="50">'301'!$P$66</definedName>
    <definedName name="OSRRefP22_13x_0" localSheetId="52">'307'!$P$88</definedName>
    <definedName name="OSRRefP22_13x_0" localSheetId="53">'308'!$P$111</definedName>
    <definedName name="OSRRefP22_13x_0" localSheetId="63">'310'!$P$75:$P$78</definedName>
    <definedName name="OSRRefP22_13x_0" localSheetId="71">'310 &amp; 491'!$P$81:$P$84</definedName>
    <definedName name="OSRRefP22_13x_0" localSheetId="54">'311'!$P$110</definedName>
    <definedName name="OSRRefP22_13x_0" localSheetId="57">'315'!$P$128:$P$129</definedName>
    <definedName name="OSRRefP22_13x_0" localSheetId="66">'321'!$P$75</definedName>
    <definedName name="OSRRefP22_13x_0" localSheetId="68">'325'!$P$73</definedName>
    <definedName name="OSRRefP22_13x_0" localSheetId="58">'326'!$P$92:$P$94</definedName>
    <definedName name="OSRRefP22_13x_0" localSheetId="51">'330'!$P$92</definedName>
    <definedName name="OSRRefP22_13x_0" localSheetId="56">'331'!$P$128</definedName>
    <definedName name="OSRRefP22_13x_0" localSheetId="73">'405'!$P$71:$P$79</definedName>
    <definedName name="OSRRefP22_13x_0" localSheetId="75">'411'!$P$77</definedName>
    <definedName name="OSRRefP22_13x_0" localSheetId="76">'412'!$P$74</definedName>
    <definedName name="OSRRefP22_13x_0" localSheetId="78">'414'!$P$71</definedName>
    <definedName name="OSRRefP22_13x_0" localSheetId="79">'415'!$P$76</definedName>
    <definedName name="OSRRefP22_13x_0" localSheetId="80">'418'!$P$81</definedName>
    <definedName name="OSRRefP22_13x_0" localSheetId="88">'433'!$P$76:$P$83</definedName>
    <definedName name="OSRRefP22_13x_0" localSheetId="90">'444'!$P$77</definedName>
    <definedName name="OSRRefP22_13x_0" localSheetId="91">'450'!$P$67:$P$69</definedName>
    <definedName name="OSRRefP22_13x_0" localSheetId="72">'491'!$P$74:$P$77</definedName>
    <definedName name="OSRRefP22_13x_0" localSheetId="86">'492'!$P$74:$P$77</definedName>
    <definedName name="OSRRefP22_13x_0" localSheetId="39">'Div 2'!$P$73:$P$76</definedName>
    <definedName name="OSRRefP22_13x_0" localSheetId="47">'Div 3'!$P$179</definedName>
    <definedName name="OSRRefP22_13x_0" localSheetId="70">'Div 4'!$P$77</definedName>
    <definedName name="OSRRefP22_13x_0" localSheetId="2">Summary!$P$208</definedName>
    <definedName name="OSRRefP22_14x_0" localSheetId="41">'201'!$P$72</definedName>
    <definedName name="OSRRefP22_14x_0" localSheetId="43">'203'!$P$72</definedName>
    <definedName name="OSRRefP22_14x_0" localSheetId="48">'300'!$P$178</definedName>
    <definedName name="OSRRefP22_14x_0" localSheetId="49">'300 &amp; 317'!$P$201</definedName>
    <definedName name="OSRRefP22_14x_0" localSheetId="50">'301'!$P$68:$P$71</definedName>
    <definedName name="OSRRefP22_14x_0" localSheetId="53">'308'!$P$113</definedName>
    <definedName name="OSRRefP22_14x_0" localSheetId="63">'310'!$P$80:$P$81</definedName>
    <definedName name="OSRRefP22_14x_0" localSheetId="71">'310 &amp; 491'!$P$86:$P$87</definedName>
    <definedName name="OSRRefP22_14x_0" localSheetId="54">'311'!$P$112</definedName>
    <definedName name="OSRRefP22_14x_0" localSheetId="57">'315'!$P$131:$P$137</definedName>
    <definedName name="OSRRefP22_14x_0" localSheetId="68">'325'!$P$75:$P$79</definedName>
    <definedName name="OSRRefP22_14x_0" localSheetId="58">'326'!$P$96:$P$98</definedName>
    <definedName name="OSRRefP22_14x_0" localSheetId="56">'331'!$P$130:$P$132</definedName>
    <definedName name="OSRRefP22_14x_0" localSheetId="73">'405'!$P$81</definedName>
    <definedName name="OSRRefP22_14x_0" localSheetId="75">'411'!$P$79</definedName>
    <definedName name="OSRRefP22_14x_0" localSheetId="78">'414'!$P$73</definedName>
    <definedName name="OSRRefP22_14x_0" localSheetId="79">'415'!$P$78:$P$85</definedName>
    <definedName name="OSRRefP22_14x_0" localSheetId="88">'433'!$P$85</definedName>
    <definedName name="OSRRefP22_14x_0" localSheetId="90">'444'!$P$79:$P$87</definedName>
    <definedName name="OSRRefP22_14x_0" localSheetId="91">'450'!$P$71:$P$77</definedName>
    <definedName name="OSRRefP22_14x_0" localSheetId="72">'491'!$P$79:$P$80</definedName>
    <definedName name="OSRRefP22_14x_0" localSheetId="86">'492'!$P$79</definedName>
    <definedName name="OSRRefP22_14x_0" localSheetId="39">'Div 2'!$P$78:$P$79</definedName>
    <definedName name="OSRRefP22_14x_0" localSheetId="47">'Div 3'!$P$181:$P$182</definedName>
    <definedName name="OSRRefP22_14x_0" localSheetId="70">'Div 4'!$P$79</definedName>
    <definedName name="OSRRefP22_14x_0" localSheetId="2">Summary!$P$210:$P$211</definedName>
    <definedName name="OSRRefP22_15x_0" localSheetId="41">'201'!$P$74</definedName>
    <definedName name="OSRRefP22_15x_0" localSheetId="48">'300'!$P$180</definedName>
    <definedName name="OSRRefP22_15x_0" localSheetId="49">'300 &amp; 317'!$P$203</definedName>
    <definedName name="OSRRefP22_15x_0" localSheetId="50">'301'!$P$73:$P$75</definedName>
    <definedName name="OSRRefP22_15x_0" localSheetId="63">'310'!$P$83:$P$86</definedName>
    <definedName name="OSRRefP22_15x_0" localSheetId="71">'310 &amp; 491'!$P$89:$P$93</definedName>
    <definedName name="OSRRefP22_15x_0" localSheetId="57">'315'!$P$139</definedName>
    <definedName name="OSRRefP22_15x_0" localSheetId="68">'325'!$P$81:$P$82</definedName>
    <definedName name="OSRRefP22_15x_0" localSheetId="58">'326'!$P$100:$P$101</definedName>
    <definedName name="OSRRefP22_15x_0" localSheetId="56">'331'!$P$134:$P$136</definedName>
    <definedName name="OSRRefP22_15x_0" localSheetId="73">'405'!$P$83</definedName>
    <definedName name="OSRRefP22_15x_0" localSheetId="75">'411'!$P$81</definedName>
    <definedName name="OSRRefP22_15x_0" localSheetId="78">'414'!$P$75</definedName>
    <definedName name="OSRRefP22_15x_0" localSheetId="79">'415'!$P$87:$P$88</definedName>
    <definedName name="OSRRefP22_15x_0" localSheetId="88">'433'!$P$87</definedName>
    <definedName name="OSRRefP22_15x_0" localSheetId="90">'444'!$P$89:$P$90</definedName>
    <definedName name="OSRRefP22_15x_0" localSheetId="91">'450'!$P$79:$P$80</definedName>
    <definedName name="OSRRefP22_15x_0" localSheetId="72">'491'!$P$82:$P$86</definedName>
    <definedName name="OSRRefP22_15x_0" localSheetId="86">'492'!$P$81:$P$90</definedName>
    <definedName name="OSRRefP22_15x_0" localSheetId="39">'Div 2'!$P$81:$P$82</definedName>
    <definedName name="OSRRefP22_15x_0" localSheetId="47">'Div 3'!$P$184</definedName>
    <definedName name="OSRRefP22_15x_0" localSheetId="70">'Div 4'!$P$81:$P$84</definedName>
    <definedName name="OSRRefP22_15x_0" localSheetId="2">Summary!$P$213</definedName>
    <definedName name="OSRRefP22_16x_0" localSheetId="41">'201'!$P$76</definedName>
    <definedName name="OSRRefP22_16x_0" localSheetId="48">'300'!$P$182:$P$185</definedName>
    <definedName name="OSRRefP22_16x_0" localSheetId="49">'300 &amp; 317'!$P$205:$P$208</definedName>
    <definedName name="OSRRefP22_16x_0" localSheetId="50">'301'!$P$77</definedName>
    <definedName name="OSRRefP22_16x_0" localSheetId="63">'310'!$P$88</definedName>
    <definedName name="OSRRefP22_16x_0" localSheetId="71">'310 &amp; 491'!$P$95:$P$96</definedName>
    <definedName name="OSRRefP22_16x_0" localSheetId="57">'315'!$P$141</definedName>
    <definedName name="OSRRefP22_16x_0" localSheetId="68">'325'!$P$84</definedName>
    <definedName name="OSRRefP22_16x_0" localSheetId="58">'326'!$P$103:$P$108</definedName>
    <definedName name="OSRRefP22_16x_0" localSheetId="56">'331'!$P$138:$P$140</definedName>
    <definedName name="OSRRefP22_16x_0" localSheetId="73">'405'!$P$85</definedName>
    <definedName name="OSRRefP22_16x_0" localSheetId="79">'415'!$P$90</definedName>
    <definedName name="OSRRefP22_16x_0" localSheetId="90">'444'!$P$92</definedName>
    <definedName name="OSRRefP22_16x_0" localSheetId="91">'450'!$P$82</definedName>
    <definedName name="OSRRefP22_16x_0" localSheetId="72">'491'!$P$88:$P$89</definedName>
    <definedName name="OSRRefP22_16x_0" localSheetId="86">'492'!$P$92:$P$93</definedName>
    <definedName name="OSRRefP22_16x_0" localSheetId="39">'Div 2'!$P$84:$P$88</definedName>
    <definedName name="OSRRefP22_16x_0" localSheetId="47">'Div 3'!$P$186</definedName>
    <definedName name="OSRRefP22_16x_0" localSheetId="70">'Div 4'!$P$86:$P$87</definedName>
    <definedName name="OSRRefP22_16x_0" localSheetId="2">Summary!$P$215</definedName>
    <definedName name="OSRRefP22_17x_0" localSheetId="48">'300'!$P$187:$P$190</definedName>
    <definedName name="OSRRefP22_17x_0" localSheetId="49">'300 &amp; 317'!$P$210:$P$213</definedName>
    <definedName name="OSRRefP22_17x_0" localSheetId="50">'301'!$P$79:$P$85</definedName>
    <definedName name="OSRRefP22_17x_0" localSheetId="63">'310'!$P$90:$P$96</definedName>
    <definedName name="OSRRefP22_17x_0" localSheetId="71">'310 &amp; 491'!$P$98:$P$108</definedName>
    <definedName name="OSRRefP22_17x_0" localSheetId="57">'315'!$P$143:$P$144</definedName>
    <definedName name="OSRRefP22_17x_0" localSheetId="68">'325'!$P$86</definedName>
    <definedName name="OSRRefP22_17x_0" localSheetId="58">'326'!$P$110:$P$111</definedName>
    <definedName name="OSRRefP22_17x_0" localSheetId="56">'331'!$P$142:$P$143</definedName>
    <definedName name="OSRRefP22_17x_0" localSheetId="73">'405'!$P$87</definedName>
    <definedName name="OSRRefP22_17x_0" localSheetId="79">'415'!$P$92:$P$93</definedName>
    <definedName name="OSRRefP22_17x_0" localSheetId="72">'491'!$P$91:$P$101</definedName>
    <definedName name="OSRRefP22_17x_0" localSheetId="86">'492'!$P$95</definedName>
    <definedName name="OSRRefP22_17x_0" localSheetId="39">'Div 2'!$P$90:$P$91</definedName>
    <definedName name="OSRRefP22_17x_0" localSheetId="47">'Div 3'!$P$188:$P$191</definedName>
    <definedName name="OSRRefP22_17x_0" localSheetId="70">'Div 4'!$P$89:$P$93</definedName>
    <definedName name="OSRRefP22_17x_0" localSheetId="2">Summary!$P$217</definedName>
    <definedName name="OSRRefP22_18x_0" localSheetId="48">'300'!$P$192:$P$195</definedName>
    <definedName name="OSRRefP22_18x_0" localSheetId="49">'300 &amp; 317'!$P$215:$P$218</definedName>
    <definedName name="OSRRefP22_18x_0" localSheetId="50">'301'!$P$87</definedName>
    <definedName name="OSRRefP22_18x_0" localSheetId="63">'310'!$P$98:$P$99</definedName>
    <definedName name="OSRRefP22_18x_0" localSheetId="71">'310 &amp; 491'!$P$110:$P$111</definedName>
    <definedName name="OSRRefP22_18x_0" localSheetId="58">'326'!$P$113</definedName>
    <definedName name="OSRRefP22_18x_0" localSheetId="56">'331'!$P$145:$P$152</definedName>
    <definedName name="OSRRefP22_18x_0" localSheetId="79">'415'!$P$95</definedName>
    <definedName name="OSRRefP22_18x_0" localSheetId="72">'491'!$P$103:$P$104</definedName>
    <definedName name="OSRRefP22_18x_0" localSheetId="86">'492'!$P$97</definedName>
    <definedName name="OSRRefP22_18x_0" localSheetId="39">'Div 2'!$P$93</definedName>
    <definedName name="OSRRefP22_18x_0" localSheetId="47">'Div 3'!$P$193:$P$196</definedName>
    <definedName name="OSRRefP22_18x_0" localSheetId="70">'Div 4'!$P$95:$P$96</definedName>
    <definedName name="OSRRefP22_18x_0" localSheetId="2">Summary!$P$219:$P$222</definedName>
    <definedName name="OSRRefP22_19x_0" localSheetId="48">'300'!$P$197:$P$198</definedName>
    <definedName name="OSRRefP22_19x_0" localSheetId="49">'300 &amp; 317'!$P$220:$P$221</definedName>
    <definedName name="OSRRefP22_19x_0" localSheetId="50">'301'!$P$89</definedName>
    <definedName name="OSRRefP22_19x_0" localSheetId="63">'310'!$P$101</definedName>
    <definedName name="OSRRefP22_19x_0" localSheetId="71">'310 &amp; 491'!$P$113</definedName>
    <definedName name="OSRRefP22_19x_0" localSheetId="58">'326'!$P$115:$P$116</definedName>
    <definedName name="OSRRefP22_19x_0" localSheetId="56">'331'!$P$154:$P$155</definedName>
    <definedName name="OSRRefP22_19x_0" localSheetId="72">'491'!$P$106</definedName>
    <definedName name="OSRRefP22_19x_0" localSheetId="39">'Div 2'!$P$95:$P$96</definedName>
    <definedName name="OSRRefP22_19x_0" localSheetId="47">'Div 3'!$P$198:$P$202</definedName>
    <definedName name="OSRRefP22_19x_0" localSheetId="70">'Div 4'!$P$98:$P$108</definedName>
    <definedName name="OSRRefP22_19x_0" localSheetId="2">Summary!$P$224:$P$227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'300'!$P$135:$P$144</definedName>
    <definedName name="OSRRefP22_1x_0" localSheetId="49">'300 &amp; 317'!$P$158:$P$167</definedName>
    <definedName name="OSRRefP22_1x_0" localSheetId="50">'301'!$P$31:$P$40</definedName>
    <definedName name="OSRRefP22_1x_0" localSheetId="52">'307'!$P$48:$P$57</definedName>
    <definedName name="OSRRefP22_1x_0" localSheetId="53">'308'!$P$70:$P$79</definedName>
    <definedName name="OSRRefP22_1x_0" localSheetId="64">'309'!$P$31:$P$40</definedName>
    <definedName name="OSRRefP22_1x_0" localSheetId="63">'310'!$P$41:$P$50</definedName>
    <definedName name="OSRRefP22_1x_0" localSheetId="71">'310 &amp; 491'!$P$45:$P$54</definedName>
    <definedName name="OSRRefP22_1x_0" localSheetId="54">'311'!$P$69:$P$78</definedName>
    <definedName name="OSRRefP22_1x_0" localSheetId="65">'313'!$P$37:$P$46</definedName>
    <definedName name="OSRRefP22_1x_0" localSheetId="57">'315'!$P$91:$P$100</definedName>
    <definedName name="OSRRefP22_1x_0" localSheetId="60">'316'!$P$42:$P$51</definedName>
    <definedName name="OSRRefP22_1x_0" localSheetId="62">'317'!$P$63:$P$72</definedName>
    <definedName name="OSRRefP22_1x_0" localSheetId="66">'321'!$P$36:$P$45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'326'!$P$58:$P$67</definedName>
    <definedName name="OSRRefP22_1x_0" localSheetId="51">'330'!$P$52:$P$61</definedName>
    <definedName name="OSRRefP22_1x_0" localSheetId="56">'331'!$P$92:$P$101</definedName>
    <definedName name="OSRRefP22_1x_0" localSheetId="59">'332'!$P$44:$P$53</definedName>
    <definedName name="OSRRefP22_1x_0" localSheetId="73">'405'!$P$33:$P$42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7">'413'!$P$33:$P$42</definedName>
    <definedName name="OSRRefP22_1x_0" localSheetId="78">'414'!$P$35:$P$44</definedName>
    <definedName name="OSRRefP22_1x_0" localSheetId="79">'415'!$P$37:$P$46</definedName>
    <definedName name="OSRRefP22_1x_0" localSheetId="80">'418'!$P$33:$P$42</definedName>
    <definedName name="OSRRefP22_1x_0" localSheetId="81">'420'!$P$23</definedName>
    <definedName name="OSRRefP22_1x_0" localSheetId="82">'423'!$P$29:$P$38</definedName>
    <definedName name="OSRRefP22_1x_0" localSheetId="83">'424'!$P$22</definedName>
    <definedName name="OSRRefP22_1x_0" localSheetId="84">'425'!$P$27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'450'!$P$34:$P$43</definedName>
    <definedName name="OSRRefP22_1x_0" localSheetId="72">'491'!$P$39:$P$48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3'!$P$139:$P$148</definedName>
    <definedName name="OSRRefP22_1x_0" localSheetId="70">'Div 4'!$P$42:$P$51</definedName>
    <definedName name="OSRRefP22_1x_0" localSheetId="92">'Div 5'!$P$32:$P$41</definedName>
    <definedName name="OSRRefP22_1x_0" localSheetId="61">'Div 6'!$P$63:$P$72</definedName>
    <definedName name="OSRRefP22_1x_0" localSheetId="2">Summary!$P$167:$P$176</definedName>
    <definedName name="OSRRefP22_20x_0" localSheetId="48">'300'!$P$200:$P$208</definedName>
    <definedName name="OSRRefP22_20x_0" localSheetId="49">'300 &amp; 317'!$P$223:$P$231</definedName>
    <definedName name="OSRRefP22_20x_0" localSheetId="50">'301'!$P$91:$P$92</definedName>
    <definedName name="OSRRefP22_20x_0" localSheetId="63">'310'!$P$103</definedName>
    <definedName name="OSRRefP22_20x_0" localSheetId="71">'310 &amp; 491'!$P$115:$P$117</definedName>
    <definedName name="OSRRefP22_20x_0" localSheetId="58">'326'!$P$118</definedName>
    <definedName name="OSRRefP22_20x_0" localSheetId="56">'331'!$P$157</definedName>
    <definedName name="OSRRefP22_20x_0" localSheetId="72">'491'!$P$108:$P$110</definedName>
    <definedName name="OSRRefP22_20x_0" localSheetId="47">'Div 3'!$P$204:$P$205</definedName>
    <definedName name="OSRRefP22_20x_0" localSheetId="70">'Div 4'!$P$110:$P$111</definedName>
    <definedName name="OSRRefP22_20x_0" localSheetId="2">Summary!$P$229:$P$233</definedName>
    <definedName name="OSRRefP22_21x_0" localSheetId="48">'300'!$P$210:$P$211</definedName>
    <definedName name="OSRRefP22_21x_0" localSheetId="49">'300 &amp; 317'!$P$233:$P$234</definedName>
    <definedName name="OSRRefP22_21x_0" localSheetId="50">'301'!$P$94</definedName>
    <definedName name="OSRRefP22_21x_0" localSheetId="63">'310'!$P$105</definedName>
    <definedName name="OSRRefP22_21x_0" localSheetId="71">'310 &amp; 491'!$P$119</definedName>
    <definedName name="OSRRefP22_21x_0" localSheetId="56">'331'!$P$159:$P$160</definedName>
    <definedName name="OSRRefP22_21x_0" localSheetId="72">'491'!$P$112</definedName>
    <definedName name="OSRRefP22_21x_0" localSheetId="47">'Div 3'!$P$207:$P$215</definedName>
    <definedName name="OSRRefP22_21x_0" localSheetId="70">'Div 4'!$P$113</definedName>
    <definedName name="OSRRefP22_21x_0" localSheetId="2">Summary!$P$235:$P$236</definedName>
    <definedName name="OSRRefP22_22x_0" localSheetId="48">'300'!$P$213</definedName>
    <definedName name="OSRRefP22_22x_0" localSheetId="49">'300 &amp; 317'!$P$236</definedName>
    <definedName name="OSRRefP22_22x_0" localSheetId="56">'331'!$P$162</definedName>
    <definedName name="OSRRefP22_22x_0" localSheetId="47">'Div 3'!$P$217:$P$218</definedName>
    <definedName name="OSRRefP22_22x_0" localSheetId="70">'Div 4'!$P$115:$P$117</definedName>
    <definedName name="OSRRefP22_22x_0" localSheetId="2">Summary!$P$238:$P$248</definedName>
    <definedName name="OSRRefP22_23x_0" localSheetId="48">'300'!$P$215:$P$217</definedName>
    <definedName name="OSRRefP22_23x_0" localSheetId="49">'300 &amp; 317'!$P$238:$P$240</definedName>
    <definedName name="OSRRefP22_23x_0" localSheetId="47">'Div 3'!$P$220</definedName>
    <definedName name="OSRRefP22_23x_0" localSheetId="70">'Div 4'!$P$119</definedName>
    <definedName name="OSRRefP22_23x_0" localSheetId="2">Summary!$P$250:$P$251</definedName>
    <definedName name="OSRRefP22_24x_0" localSheetId="48">'300'!$P$219</definedName>
    <definedName name="OSRRefP22_24x_0" localSheetId="49">'300 &amp; 317'!$P$242</definedName>
    <definedName name="OSRRefP22_24x_0" localSheetId="47">'Div 3'!$P$222:$P$224</definedName>
    <definedName name="OSRRefP22_24x_0" localSheetId="2">Summary!$P$253</definedName>
    <definedName name="OSRRefP22_25x_0" localSheetId="47">'Div 3'!$P$226</definedName>
    <definedName name="OSRRefP22_25x_0" localSheetId="2">Summary!$P$255:$P$257</definedName>
    <definedName name="OSRRefP22_26x_0" localSheetId="2">Summary!$P$259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'300'!$P$146</definedName>
    <definedName name="OSRRefP22_2x_0" localSheetId="49">'300 &amp; 317'!$P$169</definedName>
    <definedName name="OSRRefP22_2x_0" localSheetId="50">'301'!$P$42</definedName>
    <definedName name="OSRRefP22_2x_0" localSheetId="52">'307'!$P$59</definedName>
    <definedName name="OSRRefP22_2x_0" localSheetId="53">'308'!$P$81</definedName>
    <definedName name="OSRRefP22_2x_0" localSheetId="64">'309'!$P$42</definedName>
    <definedName name="OSRRefP22_2x_0" localSheetId="63">'310'!$P$52</definedName>
    <definedName name="OSRRefP22_2x_0" localSheetId="71">'310 &amp; 491'!$P$56</definedName>
    <definedName name="OSRRefP22_2x_0" localSheetId="54">'311'!$P$80</definedName>
    <definedName name="OSRRefP22_2x_0" localSheetId="65">'313'!$P$48</definedName>
    <definedName name="OSRRefP22_2x_0" localSheetId="57">'315'!$P$102</definedName>
    <definedName name="OSRRefP22_2x_0" localSheetId="60">'316'!$P$53</definedName>
    <definedName name="OSRRefP22_2x_0" localSheetId="62">'317'!$P$74</definedName>
    <definedName name="OSRRefP22_2x_0" localSheetId="66">'321'!$P$47</definedName>
    <definedName name="OSRRefP22_2x_0" localSheetId="67">'322'!$P$43</definedName>
    <definedName name="OSRRefP22_2x_0" localSheetId="68">'325'!$P$45</definedName>
    <definedName name="OSRRefP22_2x_0" localSheetId="58">'326'!$P$69</definedName>
    <definedName name="OSRRefP22_2x_0" localSheetId="51">'330'!$P$63</definedName>
    <definedName name="OSRRefP22_2x_0" localSheetId="56">'331'!$P$103</definedName>
    <definedName name="OSRRefP22_2x_0" localSheetId="59">'332'!$P$55</definedName>
    <definedName name="OSRRefP22_2x_0" localSheetId="73">'405'!$P$44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7">'413'!$P$44</definedName>
    <definedName name="OSRRefP22_2x_0" localSheetId="78">'414'!$P$46</definedName>
    <definedName name="OSRRefP22_2x_0" localSheetId="79">'415'!$P$48</definedName>
    <definedName name="OSRRefP22_2x_0" localSheetId="80">'418'!$P$44</definedName>
    <definedName name="OSRRefP22_2x_0" localSheetId="82">'423'!$P$40</definedName>
    <definedName name="OSRRefP22_2x_0" localSheetId="83">'424'!$P$24</definedName>
    <definedName name="OSRRefP22_2x_0" localSheetId="84">'425'!$P$29</definedName>
    <definedName name="OSRRefP22_2x_0" localSheetId="87">'430'!$P$41</definedName>
    <definedName name="OSRRefP22_2x_0" localSheetId="88">'433'!$P$49</definedName>
    <definedName name="OSRRefP22_2x_0" localSheetId="90">'444'!$P$49</definedName>
    <definedName name="OSRRefP22_2x_0" localSheetId="91">'450'!$P$45</definedName>
    <definedName name="OSRRefP22_2x_0" localSheetId="72">'491'!$P$50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3'!$P$150</definedName>
    <definedName name="OSRRefP22_2x_0" localSheetId="70">'Div 4'!$P$53</definedName>
    <definedName name="OSRRefP22_2x_0" localSheetId="92">'Div 5'!$P$43</definedName>
    <definedName name="OSRRefP22_2x_0" localSheetId="61">'Div 6'!$P$74</definedName>
    <definedName name="OSRRefP22_2x_0" localSheetId="2">Summary!$P$178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'300'!$P$148:$P$149</definedName>
    <definedName name="OSRRefP22_3x_0" localSheetId="49">'300 &amp; 317'!$P$171:$P$172</definedName>
    <definedName name="OSRRefP22_3x_0" localSheetId="50">'301'!$P$44:$P$45</definedName>
    <definedName name="OSRRefP22_3x_0" localSheetId="52">'307'!$P$61</definedName>
    <definedName name="OSRRefP22_3x_0" localSheetId="53">'308'!$P$83:$P$84</definedName>
    <definedName name="OSRRefP22_3x_0" localSheetId="64">'309'!$P$44</definedName>
    <definedName name="OSRRefP22_3x_0" localSheetId="63">'310'!$P$54</definedName>
    <definedName name="OSRRefP22_3x_0" localSheetId="71">'310 &amp; 491'!$P$58</definedName>
    <definedName name="OSRRefP22_3x_0" localSheetId="54">'311'!$P$82:$P$83</definedName>
    <definedName name="OSRRefP22_3x_0" localSheetId="65">'313'!$P$50</definedName>
    <definedName name="OSRRefP22_3x_0" localSheetId="57">'315'!$P$104</definedName>
    <definedName name="OSRRefP22_3x_0" localSheetId="60">'316'!$P$55</definedName>
    <definedName name="OSRRefP22_3x_0" localSheetId="62">'317'!$P$76</definedName>
    <definedName name="OSRRefP22_3x_0" localSheetId="66">'321'!$P$49</definedName>
    <definedName name="OSRRefP22_3x_0" localSheetId="67">'322'!$P$45</definedName>
    <definedName name="OSRRefP22_3x_0" localSheetId="68">'325'!$P$47</definedName>
    <definedName name="OSRRefP22_3x_0" localSheetId="58">'326'!$P$71</definedName>
    <definedName name="OSRRefP22_3x_0" localSheetId="51">'330'!$P$65</definedName>
    <definedName name="OSRRefP22_3x_0" localSheetId="56">'331'!$P$105</definedName>
    <definedName name="OSRRefP22_3x_0" localSheetId="59">'332'!$P$57</definedName>
    <definedName name="OSRRefP22_3x_0" localSheetId="73">'405'!$P$46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7">'413'!$P$46</definedName>
    <definedName name="OSRRefP22_3x_0" localSheetId="78">'414'!$P$48</definedName>
    <definedName name="OSRRefP22_3x_0" localSheetId="79">'415'!$P$50</definedName>
    <definedName name="OSRRefP22_3x_0" localSheetId="80">'418'!$P$46</definedName>
    <definedName name="OSRRefP22_3x_0" localSheetId="82">'423'!$P$42:$P$43</definedName>
    <definedName name="OSRRefP22_3x_0" localSheetId="83">'424'!$P$26</definedName>
    <definedName name="OSRRefP22_3x_0" localSheetId="84">'425'!$P$31</definedName>
    <definedName name="OSRRefP22_3x_0" localSheetId="87">'430'!$P$43</definedName>
    <definedName name="OSRRefP22_3x_0" localSheetId="88">'433'!$P$51</definedName>
    <definedName name="OSRRefP22_3x_0" localSheetId="90">'444'!$P$51</definedName>
    <definedName name="OSRRefP22_3x_0" localSheetId="91">'450'!$P$47</definedName>
    <definedName name="OSRRefP22_3x_0" localSheetId="72">'491'!$P$52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3'!$P$152:$P$153</definedName>
    <definedName name="OSRRefP22_3x_0" localSheetId="70">'Div 4'!$P$55</definedName>
    <definedName name="OSRRefP22_3x_0" localSheetId="92">'Div 5'!$P$45</definedName>
    <definedName name="OSRRefP22_3x_0" localSheetId="61">'Div 6'!$P$76</definedName>
    <definedName name="OSRRefP22_3x_0" localSheetId="2">Summary!$P$180:$P$181</definedName>
    <definedName name="OSRRefP22_4x_0" localSheetId="40">'200'!$P$28:$P$29</definedName>
    <definedName name="OSRRefP22_4x_0" localSheetId="41">'201'!$P$46:$P$47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'300'!$P$151</definedName>
    <definedName name="OSRRefP22_4x_0" localSheetId="49">'300 &amp; 317'!$P$174</definedName>
    <definedName name="OSRRefP22_4x_0" localSheetId="50">'301'!$P$47</definedName>
    <definedName name="OSRRefP22_4x_0" localSheetId="52">'307'!$P$63</definedName>
    <definedName name="OSRRefP22_4x_0" localSheetId="53">'308'!$P$86</definedName>
    <definedName name="OSRRefP22_4x_0" localSheetId="64">'309'!$P$46</definedName>
    <definedName name="OSRRefP22_4x_0" localSheetId="63">'310'!$P$56</definedName>
    <definedName name="OSRRefP22_4x_0" localSheetId="71">'310 &amp; 491'!$P$60</definedName>
    <definedName name="OSRRefP22_4x_0" localSheetId="54">'311'!$P$85</definedName>
    <definedName name="OSRRefP22_4x_0" localSheetId="65">'313'!$P$52</definedName>
    <definedName name="OSRRefP22_4x_0" localSheetId="57">'315'!$P$106</definedName>
    <definedName name="OSRRefP22_4x_0" localSheetId="60">'316'!$P$57</definedName>
    <definedName name="OSRRefP22_4x_0" localSheetId="62">'317'!$P$78</definedName>
    <definedName name="OSRRefP22_4x_0" localSheetId="66">'321'!$P$51</definedName>
    <definedName name="OSRRefP22_4x_0" localSheetId="67">'322'!$P$47</definedName>
    <definedName name="OSRRefP22_4x_0" localSheetId="68">'325'!$P$49</definedName>
    <definedName name="OSRRefP22_4x_0" localSheetId="58">'326'!$P$73</definedName>
    <definedName name="OSRRefP22_4x_0" localSheetId="51">'330'!$P$67</definedName>
    <definedName name="OSRRefP22_4x_0" localSheetId="56">'331'!$P$107</definedName>
    <definedName name="OSRRefP22_4x_0" localSheetId="59">'332'!$P$59</definedName>
    <definedName name="OSRRefP22_4x_0" localSheetId="73">'405'!$P$48:$P$49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7">'413'!$P$48</definedName>
    <definedName name="OSRRefP22_4x_0" localSheetId="78">'414'!$P$50</definedName>
    <definedName name="OSRRefP22_4x_0" localSheetId="79">'415'!$P$52</definedName>
    <definedName name="OSRRefP22_4x_0" localSheetId="80">'418'!$P$48:$P$49</definedName>
    <definedName name="OSRRefP22_4x_0" localSheetId="82">'423'!$P$45</definedName>
    <definedName name="OSRRefP22_4x_0" localSheetId="84">'425'!$P$33:$P$34</definedName>
    <definedName name="OSRRefP22_4x_0" localSheetId="87">'430'!$P$45:$P$47</definedName>
    <definedName name="OSRRefP22_4x_0" localSheetId="88">'433'!$P$53</definedName>
    <definedName name="OSRRefP22_4x_0" localSheetId="90">'444'!$P$53</definedName>
    <definedName name="OSRRefP22_4x_0" localSheetId="91">'450'!$P$49</definedName>
    <definedName name="OSRRefP22_4x_0" localSheetId="72">'491'!$P$54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3'!$P$155</definedName>
    <definedName name="OSRRefP22_4x_0" localSheetId="70">'Div 4'!$P$57</definedName>
    <definedName name="OSRRefP22_4x_0" localSheetId="92">'Div 5'!$P$47</definedName>
    <definedName name="OSRRefP22_4x_0" localSheetId="61">'Div 6'!$P$78</definedName>
    <definedName name="OSRRefP22_4x_0" localSheetId="2">Summary!$P$183</definedName>
    <definedName name="OSRRefP22_5x_0" localSheetId="41">'201'!$P$49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'300'!$P$153:$P$154</definedName>
    <definedName name="OSRRefP22_5x_0" localSheetId="49">'300 &amp; 317'!$P$176:$P$177</definedName>
    <definedName name="OSRRefP22_5x_0" localSheetId="50">'301'!$P$49:$P$50</definedName>
    <definedName name="OSRRefP22_5x_0" localSheetId="52">'307'!$P$65:$P$66</definedName>
    <definedName name="OSRRefP22_5x_0" localSheetId="53">'308'!$P$88</definedName>
    <definedName name="OSRRefP22_5x_0" localSheetId="64">'309'!$P$48</definedName>
    <definedName name="OSRRefP22_5x_0" localSheetId="63">'310'!$P$58:$P$59</definedName>
    <definedName name="OSRRefP22_5x_0" localSheetId="71">'310 &amp; 491'!$P$62:$P$64</definedName>
    <definedName name="OSRRefP22_5x_0" localSheetId="54">'311'!$P$87</definedName>
    <definedName name="OSRRefP22_5x_0" localSheetId="65">'313'!$P$54</definedName>
    <definedName name="OSRRefP22_5x_0" localSheetId="57">'315'!$P$108</definedName>
    <definedName name="OSRRefP22_5x_0" localSheetId="60">'316'!$P$59</definedName>
    <definedName name="OSRRefP22_5x_0" localSheetId="62">'317'!$P$80</definedName>
    <definedName name="OSRRefP22_5x_0" localSheetId="66">'321'!$P$53</definedName>
    <definedName name="OSRRefP22_5x_0" localSheetId="67">'322'!$P$49</definedName>
    <definedName name="OSRRefP22_5x_0" localSheetId="68">'325'!$P$51:$P$52</definedName>
    <definedName name="OSRRefP22_5x_0" localSheetId="58">'326'!$P$75</definedName>
    <definedName name="OSRRefP22_5x_0" localSheetId="51">'330'!$P$69:$P$70</definedName>
    <definedName name="OSRRefP22_5x_0" localSheetId="56">'331'!$P$109</definedName>
    <definedName name="OSRRefP22_5x_0" localSheetId="59">'332'!$P$61</definedName>
    <definedName name="OSRRefP22_5x_0" localSheetId="73">'405'!$P$51</definedName>
    <definedName name="OSRRefP22_5x_0" localSheetId="75">'411'!$P$48</definedName>
    <definedName name="OSRRefP22_5x_0" localSheetId="76">'412'!$P$49</definedName>
    <definedName name="OSRRefP22_5x_0" localSheetId="77">'413'!$P$50</definedName>
    <definedName name="OSRRefP22_5x_0" localSheetId="78">'414'!$P$52</definedName>
    <definedName name="OSRRefP22_5x_0" localSheetId="79">'415'!$P$54:$P$55</definedName>
    <definedName name="OSRRefP22_5x_0" localSheetId="80">'418'!$P$51</definedName>
    <definedName name="OSRRefP22_5x_0" localSheetId="82">'423'!$P$47</definedName>
    <definedName name="OSRRefP22_5x_0" localSheetId="84">'425'!$P$36</definedName>
    <definedName name="OSRRefP22_5x_0" localSheetId="87">'430'!$P$49:$P$50</definedName>
    <definedName name="OSRRefP22_5x_0" localSheetId="88">'433'!$P$55</definedName>
    <definedName name="OSRRefP22_5x_0" localSheetId="90">'444'!$P$55</definedName>
    <definedName name="OSRRefP22_5x_0" localSheetId="91">'450'!$P$51</definedName>
    <definedName name="OSRRefP22_5x_0" localSheetId="72">'491'!$P$56:$P$58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3'!$P$157:$P$158</definedName>
    <definedName name="OSRRefP22_5x_0" localSheetId="70">'Div 4'!$P$59:$P$61</definedName>
    <definedName name="OSRRefP22_5x_0" localSheetId="92">'Div 5'!$P$49:$P$50</definedName>
    <definedName name="OSRRefP22_5x_0" localSheetId="61">'Div 6'!$P$80</definedName>
    <definedName name="OSRRefP22_5x_0" localSheetId="2">Summary!$P$185:$P$187</definedName>
    <definedName name="OSRRefP22_6x_0" localSheetId="41">'201'!$P$51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'205'!$P$50:$P$52</definedName>
    <definedName name="OSRRefP22_6x_0" localSheetId="46">'206'!$P$49</definedName>
    <definedName name="OSRRefP22_6x_0" localSheetId="48">'300'!$P$156:$P$157</definedName>
    <definedName name="OSRRefP22_6x_0" localSheetId="49">'300 &amp; 317'!$P$179:$P$180</definedName>
    <definedName name="OSRRefP22_6x_0" localSheetId="50">'301'!$P$52</definedName>
    <definedName name="OSRRefP22_6x_0" localSheetId="52">'307'!$P$68</definedName>
    <definedName name="OSRRefP22_6x_0" localSheetId="53">'308'!$P$90:$P$91</definedName>
    <definedName name="OSRRefP22_6x_0" localSheetId="64">'309'!$P$50</definedName>
    <definedName name="OSRRefP22_6x_0" localSheetId="63">'310'!$P$61</definedName>
    <definedName name="OSRRefP22_6x_0" localSheetId="71">'310 &amp; 491'!$P$66</definedName>
    <definedName name="OSRRefP22_6x_0" localSheetId="54">'311'!$P$89:$P$90</definedName>
    <definedName name="OSRRefP22_6x_0" localSheetId="65">'313'!$P$56:$P$57</definedName>
    <definedName name="OSRRefP22_6x_0" localSheetId="57">'315'!$P$110</definedName>
    <definedName name="OSRRefP22_6x_0" localSheetId="60">'316'!$P$61:$P$62</definedName>
    <definedName name="OSRRefP22_6x_0" localSheetId="62">'317'!$P$82:$P$83</definedName>
    <definedName name="OSRRefP22_6x_0" localSheetId="66">'321'!$P$55</definedName>
    <definedName name="OSRRefP22_6x_0" localSheetId="67">'322'!$P$51</definedName>
    <definedName name="OSRRefP22_6x_0" localSheetId="68">'325'!$P$54</definedName>
    <definedName name="OSRRefP22_6x_0" localSheetId="58">'326'!$P$77</definedName>
    <definedName name="OSRRefP22_6x_0" localSheetId="51">'330'!$P$72</definedName>
    <definedName name="OSRRefP22_6x_0" localSheetId="56">'331'!$P$111</definedName>
    <definedName name="OSRRefP22_6x_0" localSheetId="59">'332'!$P$63:$P$64</definedName>
    <definedName name="OSRRefP22_6x_0" localSheetId="73">'405'!$P$53</definedName>
    <definedName name="OSRRefP22_6x_0" localSheetId="75">'411'!$P$50</definedName>
    <definedName name="OSRRefP22_6x_0" localSheetId="76">'412'!$P$51</definedName>
    <definedName name="OSRRefP22_6x_0" localSheetId="77">'413'!$P$52</definedName>
    <definedName name="OSRRefP22_6x_0" localSheetId="78">'414'!$P$54</definedName>
    <definedName name="OSRRefP22_6x_0" localSheetId="79">'415'!$P$57</definedName>
    <definedName name="OSRRefP22_6x_0" localSheetId="80">'418'!$P$53</definedName>
    <definedName name="OSRRefP22_6x_0" localSheetId="82">'423'!$P$49</definedName>
    <definedName name="OSRRefP22_6x_0" localSheetId="87">'430'!$P$52</definedName>
    <definedName name="OSRRefP22_6x_0" localSheetId="88">'433'!$P$57</definedName>
    <definedName name="OSRRefP22_6x_0" localSheetId="90">'444'!$P$57</definedName>
    <definedName name="OSRRefP22_6x_0" localSheetId="91">'450'!$P$53</definedName>
    <definedName name="OSRRefP22_6x_0" localSheetId="72">'491'!$P$60</definedName>
    <definedName name="OSRRefP22_6x_0" localSheetId="86">'492'!$P$57</definedName>
    <definedName name="OSRRefP22_6x_0" localSheetId="93">'501'!$P$52</definedName>
    <definedName name="OSRRefP22_6x_0" localSheetId="39">'Div 2'!$P$53:$P$54</definedName>
    <definedName name="OSRRefP22_6x_0" localSheetId="47">'Div 3'!$P$160:$P$161</definedName>
    <definedName name="OSRRefP22_6x_0" localSheetId="70">'Div 4'!$P$63</definedName>
    <definedName name="OSRRefP22_6x_0" localSheetId="92">'Div 5'!$P$52</definedName>
    <definedName name="OSRRefP22_6x_0" localSheetId="61">'Div 6'!$P$82:$P$83</definedName>
    <definedName name="OSRRefP22_6x_0" localSheetId="2">Summary!$P$189:$P$190</definedName>
    <definedName name="OSRRefP22_7x_0" localSheetId="41">'201'!$P$53</definedName>
    <definedName name="OSRRefP22_7x_0" localSheetId="42">'202'!$P$53:$P$55</definedName>
    <definedName name="OSRRefP22_7x_0" localSheetId="43">'203'!$P$52:$P$53</definedName>
    <definedName name="OSRRefP22_7x_0" localSheetId="44">'204'!$P$53:$P$55</definedName>
    <definedName name="OSRRefP22_7x_0" localSheetId="45">'205'!$P$54</definedName>
    <definedName name="OSRRefP22_7x_0" localSheetId="46">'206'!$P$51</definedName>
    <definedName name="OSRRefP22_7x_0" localSheetId="48">'300'!$P$159:$P$160</definedName>
    <definedName name="OSRRefP22_7x_0" localSheetId="49">'300 &amp; 317'!$P$182:$P$183</definedName>
    <definedName name="OSRRefP22_7x_0" localSheetId="50">'301'!$P$54</definedName>
    <definedName name="OSRRefP22_7x_0" localSheetId="52">'307'!$P$70</definedName>
    <definedName name="OSRRefP22_7x_0" localSheetId="53">'308'!$P$93:$P$94</definedName>
    <definedName name="OSRRefP22_7x_0" localSheetId="64">'309'!$P$52:$P$53</definedName>
    <definedName name="OSRRefP22_7x_0" localSheetId="63">'310'!$P$63</definedName>
    <definedName name="OSRRefP22_7x_0" localSheetId="71">'310 &amp; 491'!$P$68</definedName>
    <definedName name="OSRRefP22_7x_0" localSheetId="54">'311'!$P$92:$P$93</definedName>
    <definedName name="OSRRefP22_7x_0" localSheetId="65">'313'!$P$59</definedName>
    <definedName name="OSRRefP22_7x_0" localSheetId="57">'315'!$P$112:$P$113</definedName>
    <definedName name="OSRRefP22_7x_0" localSheetId="60">'316'!$P$64:$P$65</definedName>
    <definedName name="OSRRefP22_7x_0" localSheetId="62">'317'!$P$85</definedName>
    <definedName name="OSRRefP22_7x_0" localSheetId="66">'321'!$P$57:$P$58</definedName>
    <definedName name="OSRRefP22_7x_0" localSheetId="67">'322'!$P$53:$P$54</definedName>
    <definedName name="OSRRefP22_7x_0" localSheetId="68">'325'!$P$56</definedName>
    <definedName name="OSRRefP22_7x_0" localSheetId="58">'326'!$P$79</definedName>
    <definedName name="OSRRefP22_7x_0" localSheetId="51">'330'!$P$74</definedName>
    <definedName name="OSRRefP22_7x_0" localSheetId="56">'331'!$P$113</definedName>
    <definedName name="OSRRefP22_7x_0" localSheetId="59">'332'!$P$66:$P$67</definedName>
    <definedName name="OSRRefP22_7x_0" localSheetId="73">'405'!$P$55</definedName>
    <definedName name="OSRRefP22_7x_0" localSheetId="75">'411'!$P$52</definedName>
    <definedName name="OSRRefP22_7x_0" localSheetId="76">'412'!$P$53</definedName>
    <definedName name="OSRRefP22_7x_0" localSheetId="77">'413'!$P$54</definedName>
    <definedName name="OSRRefP22_7x_0" localSheetId="78">'414'!$P$56</definedName>
    <definedName name="OSRRefP22_7x_0" localSheetId="79">'415'!$P$59</definedName>
    <definedName name="OSRRefP22_7x_0" localSheetId="80">'418'!$P$55</definedName>
    <definedName name="OSRRefP22_7x_0" localSheetId="87">'430'!$P$54</definedName>
    <definedName name="OSRRefP22_7x_0" localSheetId="88">'433'!$P$59</definedName>
    <definedName name="OSRRefP22_7x_0" localSheetId="90">'444'!$P$59</definedName>
    <definedName name="OSRRefP22_7x_0" localSheetId="91">'450'!$P$55</definedName>
    <definedName name="OSRRefP22_7x_0" localSheetId="72">'491'!$P$62</definedName>
    <definedName name="OSRRefP22_7x_0" localSheetId="86">'492'!$P$59</definedName>
    <definedName name="OSRRefP22_7x_0" localSheetId="93">'501'!$P$54</definedName>
    <definedName name="OSRRefP22_7x_0" localSheetId="39">'Div 2'!$P$56</definedName>
    <definedName name="OSRRefP22_7x_0" localSheetId="47">'Div 3'!$P$163:$P$164</definedName>
    <definedName name="OSRRefP22_7x_0" localSheetId="70">'Div 4'!$P$65</definedName>
    <definedName name="OSRRefP22_7x_0" localSheetId="92">'Div 5'!$P$54</definedName>
    <definedName name="OSRRefP22_7x_0" localSheetId="61">'Div 6'!$P$85</definedName>
    <definedName name="OSRRefP22_7x_0" localSheetId="2">Summary!$P$192:$P$193</definedName>
    <definedName name="OSRRefP22_8x_0" localSheetId="41">'201'!$P$55</definedName>
    <definedName name="OSRRefP22_8x_0" localSheetId="42">'202'!$P$57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'300'!$P$162</definedName>
    <definedName name="OSRRefP22_8x_0" localSheetId="49">'300 &amp; 317'!$P$185</definedName>
    <definedName name="OSRRefP22_8x_0" localSheetId="50">'301'!$P$56</definedName>
    <definedName name="OSRRefP22_8x_0" localSheetId="52">'307'!$P$72</definedName>
    <definedName name="OSRRefP22_8x_0" localSheetId="53">'308'!$P$96</definedName>
    <definedName name="OSRRefP22_8x_0" localSheetId="64">'309'!$P$55:$P$56</definedName>
    <definedName name="OSRRefP22_8x_0" localSheetId="63">'310'!$P$65</definedName>
    <definedName name="OSRRefP22_8x_0" localSheetId="71">'310 &amp; 491'!$P$70:$P$71</definedName>
    <definedName name="OSRRefP22_8x_0" localSheetId="54">'311'!$P$95</definedName>
    <definedName name="OSRRefP22_8x_0" localSheetId="65">'313'!$P$61:$P$63</definedName>
    <definedName name="OSRRefP22_8x_0" localSheetId="57">'315'!$P$115</definedName>
    <definedName name="OSRRefP22_8x_0" localSheetId="60">'316'!$P$67</definedName>
    <definedName name="OSRRefP22_8x_0" localSheetId="62">'317'!$P$87</definedName>
    <definedName name="OSRRefP22_8x_0" localSheetId="66">'321'!$P$60:$P$61</definedName>
    <definedName name="OSRRefP22_8x_0" localSheetId="67">'322'!$P$56:$P$57</definedName>
    <definedName name="OSRRefP22_8x_0" localSheetId="68">'325'!$P$58</definedName>
    <definedName name="OSRRefP22_8x_0" localSheetId="58">'326'!$P$81:$P$82</definedName>
    <definedName name="OSRRefP22_8x_0" localSheetId="51">'330'!$P$76</definedName>
    <definedName name="OSRRefP22_8x_0" localSheetId="56">'331'!$P$115:$P$116</definedName>
    <definedName name="OSRRefP22_8x_0" localSheetId="59">'332'!$P$69</definedName>
    <definedName name="OSRRefP22_8x_0" localSheetId="73">'405'!$P$57</definedName>
    <definedName name="OSRRefP22_8x_0" localSheetId="75">'411'!$P$54</definedName>
    <definedName name="OSRRefP22_8x_0" localSheetId="76">'412'!$P$55:$P$56</definedName>
    <definedName name="OSRRefP22_8x_0" localSheetId="77">'413'!$P$56:$P$59</definedName>
    <definedName name="OSRRefP22_8x_0" localSheetId="78">'414'!$P$58:$P$59</definedName>
    <definedName name="OSRRefP22_8x_0" localSheetId="79">'415'!$P$61</definedName>
    <definedName name="OSRRefP22_8x_0" localSheetId="80">'418'!$P$57:$P$59</definedName>
    <definedName name="OSRRefP22_8x_0" localSheetId="88">'433'!$P$61</definedName>
    <definedName name="OSRRefP22_8x_0" localSheetId="90">'444'!$P$61</definedName>
    <definedName name="OSRRefP22_8x_0" localSheetId="91">'450'!$P$57</definedName>
    <definedName name="OSRRefP22_8x_0" localSheetId="72">'491'!$P$64</definedName>
    <definedName name="OSRRefP22_8x_0" localSheetId="86">'492'!$P$61</definedName>
    <definedName name="OSRRefP22_8x_0" localSheetId="93">'501'!$P$56</definedName>
    <definedName name="OSRRefP22_8x_0" localSheetId="39">'Div 2'!$P$58</definedName>
    <definedName name="OSRRefP22_8x_0" localSheetId="47">'Div 3'!$P$166</definedName>
    <definedName name="OSRRefP22_8x_0" localSheetId="70">'Div 4'!$P$67</definedName>
    <definedName name="OSRRefP22_8x_0" localSheetId="92">'Div 5'!$P$56</definedName>
    <definedName name="OSRRefP22_8x_0" localSheetId="61">'Div 6'!$P$87</definedName>
    <definedName name="OSRRefP22_8x_0" localSheetId="2">Summary!$P$195</definedName>
    <definedName name="OSRRefP22_9x_0" localSheetId="41">'201'!$P$57</definedName>
    <definedName name="OSRRefP22_9x_0" localSheetId="42">'202'!$P$59:$P$61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'300'!$P$164</definedName>
    <definedName name="OSRRefP22_9x_0" localSheetId="49">'300 &amp; 317'!$P$187</definedName>
    <definedName name="OSRRefP22_9x_0" localSheetId="50">'301'!$P$58</definedName>
    <definedName name="OSRRefP22_9x_0" localSheetId="52">'307'!$P$74:$P$75</definedName>
    <definedName name="OSRRefP22_9x_0" localSheetId="53">'308'!$P$98:$P$99</definedName>
    <definedName name="OSRRefP22_9x_0" localSheetId="64">'309'!$P$58:$P$60</definedName>
    <definedName name="OSRRefP22_9x_0" localSheetId="63">'310'!$P$67</definedName>
    <definedName name="OSRRefP22_9x_0" localSheetId="71">'310 &amp; 491'!$P$73</definedName>
    <definedName name="OSRRefP22_9x_0" localSheetId="54">'311'!$P$97:$P$98</definedName>
    <definedName name="OSRRefP22_9x_0" localSheetId="65">'313'!$P$65:$P$66</definedName>
    <definedName name="OSRRefP22_9x_0" localSheetId="57">'315'!$P$117:$P$118</definedName>
    <definedName name="OSRRefP22_9x_0" localSheetId="60">'316'!$P$69:$P$73</definedName>
    <definedName name="OSRRefP22_9x_0" localSheetId="62">'317'!$P$89:$P$90</definedName>
    <definedName name="OSRRefP22_9x_0" localSheetId="66">'321'!$P$63:$P$64</definedName>
    <definedName name="OSRRefP22_9x_0" localSheetId="67">'322'!$P$59:$P$62</definedName>
    <definedName name="OSRRefP22_9x_0" localSheetId="68">'325'!$P$60</definedName>
    <definedName name="OSRRefP22_9x_0" localSheetId="58">'326'!$P$84</definedName>
    <definedName name="OSRRefP22_9x_0" localSheetId="51">'330'!$P$78:$P$79</definedName>
    <definedName name="OSRRefP22_9x_0" localSheetId="56">'331'!$P$118:$P$119</definedName>
    <definedName name="OSRRefP22_9x_0" localSheetId="59">'332'!$P$71:$P$75</definedName>
    <definedName name="OSRRefP22_9x_0" localSheetId="73">'405'!$P$59:$P$60</definedName>
    <definedName name="OSRRefP22_9x_0" localSheetId="75">'411'!$P$56:$P$59</definedName>
    <definedName name="OSRRefP22_9x_0" localSheetId="76">'412'!$P$58</definedName>
    <definedName name="OSRRefP22_9x_0" localSheetId="77">'413'!$P$61:$P$62</definedName>
    <definedName name="OSRRefP22_9x_0" localSheetId="78">'414'!$P$61</definedName>
    <definedName name="OSRRefP22_9x_0" localSheetId="79">'415'!$P$63</definedName>
    <definedName name="OSRRefP22_9x_0" localSheetId="80">'418'!$P$61:$P$62</definedName>
    <definedName name="OSRRefP22_9x_0" localSheetId="88">'433'!$P$63</definedName>
    <definedName name="OSRRefP22_9x_0" localSheetId="90">'444'!$P$63</definedName>
    <definedName name="OSRRefP22_9x_0" localSheetId="91">'450'!$P$59</definedName>
    <definedName name="OSRRefP22_9x_0" localSheetId="72">'491'!$P$66</definedName>
    <definedName name="OSRRefP22_9x_0" localSheetId="86">'492'!$P$63</definedName>
    <definedName name="OSRRefP22_9x_0" localSheetId="93">'501'!$P$58:$P$61</definedName>
    <definedName name="OSRRefP22_9x_0" localSheetId="39">'Div 2'!$P$60:$P$61</definedName>
    <definedName name="OSRRefP22_9x_0" localSheetId="47">'Div 3'!$P$168</definedName>
    <definedName name="OSRRefP22_9x_0" localSheetId="70">'Div 4'!$P$69</definedName>
    <definedName name="OSRRefP22_9x_0" localSheetId="92">'Div 5'!$P$58:$P$61</definedName>
    <definedName name="OSRRefP22_9x_0" localSheetId="61">'Div 6'!$P$89:$P$90</definedName>
    <definedName name="OSRRefP22_9x_0" localSheetId="2">Summary!$P$197</definedName>
    <definedName name="OSRRefP22x_0" localSheetId="40">'200'!$P$20,'200'!$P$22,'200'!$P$24,'200'!$P$26,'200'!$P$28:$P$29</definedName>
    <definedName name="OSRRefP22x_0" localSheetId="41">'201'!$P$21:$P$29,'201'!$P$31:$P$40,'201'!$P$42,'201'!$P$44,'201'!$P$46:$P$47,'201'!$P$49,'201'!$P$51,'201'!$P$53,'201'!$P$55,'201'!$P$57,'201'!$P$59:$P$61,'201'!$P$63:$P$64,'201'!$P$66,'201'!$P$68:$P$70,'201'!$P$72,'201'!$P$74,'201'!$P$76</definedName>
    <definedName name="OSRRefP22x_0" localSheetId="42">'202'!$P$21:$P$29,'202'!$P$31:$P$40,'202'!$P$42,'202'!$P$44,'202'!$P$46:$P$47,'202'!$P$49,'202'!$P$51,'202'!$P$53:$P$55,'202'!$P$57,'202'!$P$59:$P$61,'202'!$P$63,'202'!$P$65,'202'!$P$67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$124:$P$133,'300'!$P$135:$P$144,'300'!$P$146,'300'!$P$148:$P$149,'300'!$P$151,'300'!$P$153:$P$154,'300'!$P$156:$P$157,'300'!$P$159:$P$160,'300'!$P$162,'300'!$P$164,'300'!$P$166:$P$167,'300'!$P$169:$P$171,'300'!$P$173,'300'!$P$175:$P$176,'300'!$P$178,'300'!$P$180,'300'!$P$182:$P$185,'300'!$P$187:$P$190,'300'!$P$192:$P$195,'300'!$P$197:$P$198,'300'!$P$200:$P$208,'300'!$P$210:$P$211,'300'!$P$213,'300'!$P$215:$P$217,'300'!$P$219</definedName>
    <definedName name="OSRRefP22x_0" localSheetId="49">'300 &amp; 317'!$P$147:$P$156,'300 &amp; 317'!$P$158:$P$167,'300 &amp; 317'!$P$169,'300 &amp; 317'!$P$171:$P$172,'300 &amp; 317'!$P$174,'300 &amp; 317'!$P$176:$P$177,'300 &amp; 317'!$P$179:$P$180,'300 &amp; 317'!$P$182:$P$183,'300 &amp; 317'!$P$185,'300 &amp; 317'!$P$187,'300 &amp; 317'!$P$189:$P$190,'300 &amp; 317'!$P$192:$P$194,'300 &amp; 317'!$P$196,'300 &amp; 317'!$P$198:$P$199,'300 &amp; 317'!$P$201,'300 &amp; 317'!$P$203,'300 &amp; 317'!$P$205:$P$208,'300 &amp; 317'!$P$210:$P$213,'300 &amp; 317'!$P$215:$P$218,'300 &amp; 317'!$P$220:$P$221,'300 &amp; 317'!$P$223:$P$231,'300 &amp; 317'!$P$233:$P$234,'300 &amp; 317'!$P$236,'300 &amp; 317'!$P$238:$P$240,'300 &amp; 317'!$P$242</definedName>
    <definedName name="OSRRefP22x_0" localSheetId="50">'301'!$P$20:$P$29,'301'!$P$31:$P$40,'301'!$P$42,'301'!$P$44:$P$45,'301'!$P$47,'301'!$P$49:$P$50,'301'!$P$52,'301'!$P$54,'301'!$P$56,'301'!$P$58,'301'!$P$60,'301'!$P$62,'301'!$P$64,'301'!$P$66,'301'!$P$68:$P$71,'301'!$P$73:$P$75,'301'!$P$77,'301'!$P$79:$P$85,'301'!$P$87,'301'!$P$89,'301'!$P$91:$P$92,'301'!$P$94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'308'!$P$59:$P$68,'308'!$P$70:$P$79,'308'!$P$81,'308'!$P$83:$P$84,'308'!$P$86,'308'!$P$88,'308'!$P$90:$P$91,'308'!$P$93:$P$94,'308'!$P$96,'308'!$P$98:$P$99,'308'!$P$101:$P$102,'308'!$P$104:$P$106,'308'!$P$108:$P$109,'308'!$P$111,'308'!$P$113</definedName>
    <definedName name="OSRRefP22x_0" localSheetId="64">'309'!$P$22:$P$29,'309'!$P$31:$P$40,'309'!$P$42,'309'!$P$44,'309'!$P$46,'309'!$P$48,'309'!$P$50,'309'!$P$52:$P$53,'309'!$P$55:$P$56,'309'!$P$58:$P$60,'309'!$P$62</definedName>
    <definedName name="OSRRefP22x_0" localSheetId="63">'310'!$P$31:$P$39,'310'!$P$41:$P$50,'310'!$P$52,'310'!$P$54,'310'!$P$56,'310'!$P$58:$P$59,'310'!$P$61,'310'!$P$63,'310'!$P$65,'310'!$P$67,'310'!$P$69,'310'!$P$71,'310'!$P$73,'310'!$P$75:$P$78,'310'!$P$80:$P$81,'310'!$P$83:$P$86,'310'!$P$88,'310'!$P$90:$P$96,'310'!$P$98:$P$99,'310'!$P$101,'310'!$P$103,'310'!$P$105</definedName>
    <definedName name="OSRRefP22x_0" localSheetId="71">'310 &amp; 491'!$P$35:$P$43,'310 &amp; 491'!$P$45:$P$54,'310 &amp; 491'!$P$56,'310 &amp; 491'!$P$58,'310 &amp; 491'!$P$60,'310 &amp; 491'!$P$62:$P$64,'310 &amp; 491'!$P$66,'310 &amp; 491'!$P$68,'310 &amp; 491'!$P$70:$P$71,'310 &amp; 491'!$P$73,'310 &amp; 491'!$P$75,'310 &amp; 491'!$P$77,'310 &amp; 491'!$P$79,'310 &amp; 491'!$P$81:$P$84,'310 &amp; 491'!$P$86:$P$87,'310 &amp; 491'!$P$89:$P$93,'310 &amp; 491'!$P$95:$P$96,'310 &amp; 491'!$P$98:$P$108,'310 &amp; 491'!$P$110:$P$111,'310 &amp; 491'!$P$113,'310 &amp; 491'!$P$115:$P$117,'310 &amp; 491'!$P$119</definedName>
    <definedName name="OSRRefP22x_0" localSheetId="54">'311'!$P$58:$P$67,'311'!$P$69:$P$78,'311'!$P$80,'311'!$P$82:$P$83,'311'!$P$85,'311'!$P$87,'311'!$P$89:$P$90,'311'!$P$92:$P$93,'311'!$P$95,'311'!$P$97:$P$98,'311'!$P$100:$P$101,'311'!$P$103:$P$105,'311'!$P$107:$P$108,'311'!$P$110,'311'!$P$112</definedName>
    <definedName name="OSRRefP22x_0" localSheetId="65">'313'!$P$27:$P$35,'313'!$P$37:$P$46,'313'!$P$48,'313'!$P$50,'313'!$P$52,'313'!$P$54,'313'!$P$56:$P$57,'313'!$P$59,'313'!$P$61:$P$63,'313'!$P$65:$P$66,'313'!$P$68,'313'!$P$70</definedName>
    <definedName name="OSRRefP22x_0" localSheetId="57">'315'!$P$81:$P$89,'315'!$P$91:$P$100,'315'!$P$102,'315'!$P$104,'315'!$P$106,'315'!$P$108,'315'!$P$110,'315'!$P$112:$P$113,'315'!$P$115,'315'!$P$117:$P$118,'315'!$P$120,'315'!$P$122,'315'!$P$124:$P$126,'315'!$P$128:$P$129,'315'!$P$131:$P$137,'315'!$P$139,'315'!$P$141,'315'!$P$143:$P$144</definedName>
    <definedName name="OSRRefP22x_0" localSheetId="60">'316'!$P$32:$P$40,'316'!$P$42:$P$51,'316'!$P$53,'316'!$P$55,'316'!$P$57,'316'!$P$59,'316'!$P$61:$P$62,'316'!$P$64:$P$65,'316'!$P$67,'316'!$P$69:$P$73,'316'!$P$75,'316'!$P$77</definedName>
    <definedName name="OSRRefP22x_0" localSheetId="62">'317'!$P$52:$P$61,'317'!$P$63:$P$72,'317'!$P$74,'317'!$P$76,'317'!$P$78,'317'!$P$80,'317'!$P$82:$P$83,'317'!$P$85,'317'!$P$87,'317'!$P$89:$P$90,'317'!$P$92:$P$95,'317'!$P$97,'317'!$P$99</definedName>
    <definedName name="OSRRefP22x_0" localSheetId="66">'321'!$P$26:$P$34,'321'!$P$36:$P$45,'321'!$P$47,'321'!$P$49,'321'!$P$51,'321'!$P$53,'321'!$P$55,'321'!$P$57:$P$58,'321'!$P$60:$P$61,'321'!$P$63:$P$64,'321'!$P$66:$P$68,'321'!$P$70:$P$71,'321'!$P$73,'321'!$P$75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8">'326'!$P$48:$P$56,'326'!$P$58:$P$67,'326'!$P$69,'326'!$P$71,'326'!$P$73,'326'!$P$75,'326'!$P$77,'326'!$P$79,'326'!$P$81:$P$82,'326'!$P$84,'326'!$P$86,'326'!$P$88,'326'!$P$90,'326'!$P$92:$P$94,'326'!$P$96:$P$98,'326'!$P$100:$P$101,'326'!$P$103:$P$108,'326'!$P$110:$P$111,'326'!$P$113,'326'!$P$115:$P$116,'326'!$P$118</definedName>
    <definedName name="OSRRefP22x_0" localSheetId="69">'327'!$P$24</definedName>
    <definedName name="OSRRefP22x_0" localSheetId="51">'330'!$P$42:$P$50,'330'!$P$52:$P$61,'330'!$P$63,'330'!$P$65,'330'!$P$67,'330'!$P$69:$P$70,'330'!$P$72,'330'!$P$74,'330'!$P$76,'330'!$P$78:$P$79,'330'!$P$81:$P$82,'330'!$P$84:$P$87,'330'!$P$89:$P$90,'330'!$P$92</definedName>
    <definedName name="OSRRefP22x_0" localSheetId="56">'331'!$P$82:$P$90,'331'!$P$92:$P$101,'331'!$P$103,'331'!$P$105,'331'!$P$107,'331'!$P$109,'331'!$P$111,'331'!$P$113,'331'!$P$115:$P$116,'331'!$P$118:$P$119,'331'!$P$121,'331'!$P$123:$P$124,'331'!$P$126,'331'!$P$128,'331'!$P$130:$P$132,'331'!$P$134:$P$136,'331'!$P$138:$P$140,'331'!$P$142:$P$143,'331'!$P$145:$P$152,'331'!$P$154:$P$155,'331'!$P$157,'331'!$P$159:$P$160,'331'!$P$162</definedName>
    <definedName name="OSRRefP22x_0" localSheetId="59">'332'!$P$34:$P$42,'332'!$P$44:$P$53,'332'!$P$55,'332'!$P$57,'332'!$P$59,'332'!$P$61,'332'!$P$63:$P$64,'332'!$P$66:$P$67,'332'!$P$69,'332'!$P$71:$P$75,'332'!$P$77,'332'!$P$79</definedName>
    <definedName name="OSRRefP22x_0" localSheetId="73">'405'!$P$24:$P$31,'405'!$P$33:$P$42,'405'!$P$44,'405'!$P$46,'405'!$P$48:$P$49,'405'!$P$51,'405'!$P$53,'405'!$P$55,'405'!$P$57,'405'!$P$59:$P$60,'405'!$P$62,'405'!$P$64:$P$67,'405'!$P$69,'405'!$P$71:$P$79,'405'!$P$81,'405'!$P$83,'405'!$P$85,'405'!$P$87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'411'!$P$20:$P$28,'411'!$P$30:$P$39,'411'!$P$41,'411'!$P$43,'411'!$P$45:$P$46,'411'!$P$48,'411'!$P$50,'411'!$P$52,'411'!$P$54,'411'!$P$56:$P$59,'411'!$P$61:$P$64,'411'!$P$66:$P$67,'411'!$P$69:$P$75,'411'!$P$77,'411'!$P$79,'411'!$P$81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7">'413'!$P$23:$P$31,'413'!$P$33:$P$42,'413'!$P$44,'413'!$P$46,'413'!$P$48,'413'!$P$50,'413'!$P$52,'413'!$P$54,'413'!$P$56:$P$59,'413'!$P$61:$P$62,'413'!$P$64:$P$71,'413'!$P$73:$P$74,'413'!$P$76</definedName>
    <definedName name="OSRRefP22x_0" localSheetId="78">'414'!$P$25:$P$33,'414'!$P$35:$P$44,'414'!$P$46,'414'!$P$48,'414'!$P$50,'414'!$P$52,'414'!$P$54,'414'!$P$56,'414'!$P$58:$P$59,'414'!$P$61,'414'!$P$63,'414'!$P$65,'414'!$P$67:$P$69,'414'!$P$71,'414'!$P$73,'414'!$P$75</definedName>
    <definedName name="OSRRefP22x_0" localSheetId="79">'415'!$P$27:$P$35,'415'!$P$37:$P$46,'415'!$P$48,'415'!$P$50,'415'!$P$52,'415'!$P$54:$P$55,'415'!$P$57,'415'!$P$59,'415'!$P$61,'415'!$P$63,'415'!$P$65,'415'!$P$67:$P$68,'415'!$P$70:$P$74,'415'!$P$76,'415'!$P$78:$P$85,'415'!$P$87:$P$88,'415'!$P$90,'415'!$P$92:$P$93,'415'!$P$95</definedName>
    <definedName name="OSRRefP22x_0" localSheetId="80">'418'!$P$24:$P$31,'418'!$P$33:$P$42,'418'!$P$44,'418'!$P$46,'418'!$P$48:$P$49,'418'!$P$51,'418'!$P$53,'418'!$P$55,'418'!$P$57:$P$59,'418'!$P$61:$P$62,'418'!$P$64:$P$65,'418'!$P$67:$P$76,'418'!$P$78:$P$79,'418'!$P$81</definedName>
    <definedName name="OSRRefP22x_0" localSheetId="81">'420'!$P$21,'420'!$P$23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'425'!$P$21:$P$25,'425'!$P$27,'425'!$P$29,'425'!$P$31,'425'!$P$33:$P$34,'425'!$P$36</definedName>
    <definedName name="OSRRefP22x_0" localSheetId="87">'430'!$P$20:$P$28,'430'!$P$30:$P$39,'430'!$P$41,'430'!$P$43,'430'!$P$45:$P$47,'430'!$P$49:$P$50,'430'!$P$52,'430'!$P$54</definedName>
    <definedName name="OSRRefP22x_0" localSheetId="88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'444'!$P$27:$P$36,'444'!$P$38:$P$47,'444'!$P$49,'444'!$P$51,'444'!$P$53,'444'!$P$55,'444'!$P$57,'444'!$P$59,'444'!$P$61,'444'!$P$63,'444'!$P$65,'444'!$P$67:$P$70,'444'!$P$72:$P$75,'444'!$P$77,'444'!$P$79:$P$87,'444'!$P$89:$P$90,'444'!$P$92</definedName>
    <definedName name="OSRRefP22x_0" localSheetId="91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$29:$P$37,'491'!$P$39:$P$48,'491'!$P$50,'491'!$P$52,'491'!$P$54,'491'!$P$56:$P$58,'491'!$P$60,'491'!$P$62,'491'!$P$64,'491'!$P$66,'491'!$P$68,'491'!$P$70,'491'!$P$72,'491'!$P$74:$P$77,'491'!$P$79:$P$80,'491'!$P$82:$P$86,'491'!$P$88:$P$89,'491'!$P$91:$P$101,'491'!$P$103:$P$104,'491'!$P$106,'491'!$P$108:$P$110,'491'!$P$112</definedName>
    <definedName name="OSRRefP22x_0" localSheetId="86">'492'!$P$27:$P$36,'492'!$P$38:$P$47,'492'!$P$49,'492'!$P$51,'492'!$P$53,'492'!$P$55,'492'!$P$57,'492'!$P$59,'492'!$P$61,'492'!$P$63,'492'!$P$65,'492'!$P$67,'492'!$P$69:$P$72,'492'!$P$74:$P$77,'492'!$P$79,'492'!$P$81:$P$90,'492'!$P$92:$P$93,'492'!$P$95,'492'!$P$97</definedName>
    <definedName name="OSRRefP22x_0" localSheetId="93">'501'!$P$21:$P$30,'501'!$P$32:$P$41,'501'!$P$43,'501'!$P$45,'501'!$P$47,'501'!$P$49:$P$50,'501'!$P$52,'501'!$P$54,'501'!$P$56,'501'!$P$58:$P$61,'501'!$P$63:$P$64,'501'!$P$66,'501'!$P$68</definedName>
    <definedName name="OSRRefP22x_0" localSheetId="39">'Div 2'!$P$21:$P$31,'Div 2'!$P$33:$P$42,'Div 2'!$P$44,'Div 2'!$P$46,'Div 2'!$P$48,'Div 2'!$P$50:$P$51,'Div 2'!$P$53:$P$54,'Div 2'!$P$56,'Div 2'!$P$58,'Div 2'!$P$60:$P$61,'Div 2'!$P$63,'Div 2'!$P$65:$P$66,'Div 2'!$P$68:$P$71,'Div 2'!$P$73:$P$76,'Div 2'!$P$78:$P$79,'Div 2'!$P$81:$P$82,'Div 2'!$P$84:$P$88,'Div 2'!$P$90:$P$91,'Div 2'!$P$93,'Div 2'!$P$95:$P$96</definedName>
    <definedName name="OSRRefP22x_0" localSheetId="47">'Div 3'!$P$128:$P$137,'Div 3'!$P$139:$P$148,'Div 3'!$P$150,'Div 3'!$P$152:$P$153,'Div 3'!$P$155,'Div 3'!$P$157:$P$158,'Div 3'!$P$160:$P$161,'Div 3'!$P$163:$P$164,'Div 3'!$P$166,'Div 3'!$P$168,'Div 3'!$P$170:$P$171,'Div 3'!$P$173:$P$175,'Div 3'!$P$177,'Div 3'!$P$179,'Div 3'!$P$181:$P$182,'Div 3'!$P$184,'Div 3'!$P$186,'Div 3'!$P$188:$P$191,'Div 3'!$P$193:$P$196,'Div 3'!$P$198:$P$202,'Div 3'!$P$204:$P$205,'Div 3'!$P$207:$P$215,'Div 3'!$P$217:$P$218,'Div 3'!$P$220,'Div 3'!$P$222:$P$224,'Div 3'!$P$226</definedName>
    <definedName name="OSRRefP22x_0" localSheetId="70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4'!$P$95:$P$96,'Div 4'!$P$98:$P$108,'Div 4'!$P$110:$P$111,'Div 4'!$P$113,'Div 4'!$P$115:$P$117,'Div 4'!$P$119</definedName>
    <definedName name="OSRRefP22x_0" localSheetId="92">'Div 5'!$P$21:$P$30,'Div 5'!$P$32:$P$41,'Div 5'!$P$43,'Div 5'!$P$45,'Div 5'!$P$47,'Div 5'!$P$49:$P$50,'Div 5'!$P$52,'Div 5'!$P$54,'Div 5'!$P$56,'Div 5'!$P$58:$P$61,'Div 5'!$P$63:$P$64,'Div 5'!$P$66,'Div 5'!$P$68</definedName>
    <definedName name="OSRRefP22x_0" localSheetId="61">'Div 6'!$P$52:$P$61,'Div 6'!$P$63:$P$72,'Div 6'!$P$74,'Div 6'!$P$76,'Div 6'!$P$78,'Div 6'!$P$80,'Div 6'!$P$82:$P$83,'Div 6'!$P$85,'Div 6'!$P$87,'Div 6'!$P$89:$P$90,'Div 6'!$P$92:$P$95,'Div 6'!$P$97,'Div 6'!$P$99</definedName>
    <definedName name="OSRRefP22x_0" localSheetId="2">Summary!$P$156:$P$165,Summary!$P$167:$P$176,Summary!$P$178,Summary!$P$180:$P$181,Summary!$P$183,Summary!$P$185:$P$187,Summary!$P$189:$P$190,Summary!$P$192:$P$193,Summary!$P$195,Summary!$P$197,Summary!$P$199:$P$200,Summary!$P$202:$P$204,Summary!$P$206,Summary!$P$208,Summary!$P$210:$P$211,Summary!$P$213,Summary!$P$215,Summary!$P$217,Summary!$P$219:$P$222,Summary!$P$224:$P$227,Summary!$P$229:$P$233,Summary!$P$235:$P$236,Summary!$P$238:$P$248,Summary!$P$250:$P$251,Summary!$P$253,Summary!$P$255:$P$257,Summary!$P$259</definedName>
    <definedName name="OSRRefP25x_0" localSheetId="42">'202'!$P$70:$P$72</definedName>
    <definedName name="OSRRefP25x_0" localSheetId="48">'300'!$P$222:$P$225</definedName>
    <definedName name="OSRRefP25x_0" localSheetId="49">'300 &amp; 317'!$P$245:$P$249</definedName>
    <definedName name="OSRRefP25x_0" localSheetId="50">'301'!$P$97:$P$98</definedName>
    <definedName name="OSRRefP25x_0" localSheetId="53">'308'!$P$116:$P$118</definedName>
    <definedName name="OSRRefP25x_0" localSheetId="71">'310 &amp; 491'!$P$122:$P$125</definedName>
    <definedName name="OSRRefP25x_0" localSheetId="54">'311'!$P$115:$P$117</definedName>
    <definedName name="OSRRefP25x_0" localSheetId="57">'315'!$P$147:$P$149</definedName>
    <definedName name="OSRRefP25x_0" localSheetId="60">'316'!$P$80</definedName>
    <definedName name="OSRRefP25x_0" localSheetId="62">'317'!$P$102:$P$103</definedName>
    <definedName name="OSRRefP25x_0" localSheetId="56">'331'!$P$165:$P$167</definedName>
    <definedName name="OSRRefP25x_0" localSheetId="59">'332'!$P$82:$P$83</definedName>
    <definedName name="OSRRefP25x_0" localSheetId="75">'411'!$P$84:$P$85</definedName>
    <definedName name="OSRRefP25x_0" localSheetId="80">'418'!$P$84</definedName>
    <definedName name="OSRRefP25x_0" localSheetId="82">'423'!$P$52:$P$54</definedName>
    <definedName name="OSRRefP25x_0" localSheetId="85">'455'!$P$21:$P$22</definedName>
    <definedName name="OSRRefP25x_0" localSheetId="72">'491'!$P$115:$P$118</definedName>
    <definedName name="OSRRefP25x_0" localSheetId="93">'501'!$P$71</definedName>
    <definedName name="OSRRefP25x_0" localSheetId="39">'Div 2'!$P$99:$P$101</definedName>
    <definedName name="OSRRefP25x_0" localSheetId="47">'Div 3'!$P$229:$P$232</definedName>
    <definedName name="OSRRefP25x_0" localSheetId="70">'Div 4'!$P$122:$P$125</definedName>
    <definedName name="OSRRefP25x_0" localSheetId="92">'Div 5'!$P$71</definedName>
    <definedName name="OSRRefP25x_0" localSheetId="61">'Div 6'!$P$102:$P$103</definedName>
    <definedName name="OSRRefP25x_0" localSheetId="2">Summary!$P$262:$P$268</definedName>
    <definedName name="OSRRefT13x_0" localSheetId="41">'201'!$T$13</definedName>
    <definedName name="OSRRefT13x_0" localSheetId="42">'202'!$T$13</definedName>
    <definedName name="OSRRefT13x_0" localSheetId="48">'300'!$T$13:$T$77</definedName>
    <definedName name="OSRRefT13x_0" localSheetId="49">'300 &amp; 317'!$T$13:$T$91</definedName>
    <definedName name="OSRRefT13x_0" localSheetId="52">'307'!$T$13:$T$23</definedName>
    <definedName name="OSRRefT13x_0" localSheetId="53">'308'!$T$13:$T$35</definedName>
    <definedName name="OSRRefT13x_0" localSheetId="64">'309'!$T$13</definedName>
    <definedName name="OSRRefT13x_0" localSheetId="63">'310'!$T$13:$T$20</definedName>
    <definedName name="OSRRefT13x_0" localSheetId="71">'310 &amp; 491'!$T$13:$T$24</definedName>
    <definedName name="OSRRefT13x_0" localSheetId="54">'311'!$T$13:$T$34</definedName>
    <definedName name="OSRRefT13x_0" localSheetId="65">'313'!$T$13:$T$17</definedName>
    <definedName name="OSRRefT13x_0" localSheetId="57">'315'!$T$13:$T$50</definedName>
    <definedName name="OSRRefT13x_0" localSheetId="60">'316'!$T$13:$T$24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'326'!$T$13:$T$33</definedName>
    <definedName name="OSRRefT13x_0" localSheetId="69">'327'!$T$13:$T$14</definedName>
    <definedName name="OSRRefT13x_0" localSheetId="51">'330'!$T$13:$T$26</definedName>
    <definedName name="OSRRefT13x_0" localSheetId="56">'331'!$T$13:$T$50</definedName>
    <definedName name="OSRRefT13x_0" localSheetId="59">'332'!$T$13:$T$24</definedName>
    <definedName name="OSRRefT13x_0" localSheetId="73">'405'!$T$13:$T$14</definedName>
    <definedName name="OSRRefT13x_0" localSheetId="76">'412'!$T$13</definedName>
    <definedName name="OSRRefT13x_0" localSheetId="77">'413'!$T$13:$T$14</definedName>
    <definedName name="OSRRefT13x_0" localSheetId="78">'414'!$T$13:$T$15</definedName>
    <definedName name="OSRRefT13x_0" localSheetId="79">'415'!$T$13:$T$16</definedName>
    <definedName name="OSRRefT13x_0" localSheetId="80">'418'!$T$13:$T$14</definedName>
    <definedName name="OSRRefT13x_0" localSheetId="81">'420'!$T$13</definedName>
    <definedName name="OSRRefT13x_0" localSheetId="88">'433'!$T$13:$T$16</definedName>
    <definedName name="OSRRefT13x_0" localSheetId="90">'444'!$T$13:$T$16</definedName>
    <definedName name="OSRRefT13x_0" localSheetId="91">'450'!$T$13:$T$14</definedName>
    <definedName name="OSRRefT13x_0" localSheetId="72">'491'!$T$13:$T$18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3'!$T$13:$T$79</definedName>
    <definedName name="OSRRefT13x_0" localSheetId="70">'Div 4'!$T$13:$T$20</definedName>
    <definedName name="OSRRefT13x_0" localSheetId="92">'Div 5'!$T$13</definedName>
    <definedName name="OSRRefT13x_0" localSheetId="61">'Div 6'!$T$13:$T$30</definedName>
    <definedName name="OSRRefT13x_0" localSheetId="2">Summary!$T$13:$T$98</definedName>
    <definedName name="OSRRefT16x_0" localSheetId="48">'300'!$T$80:$T$118</definedName>
    <definedName name="OSRRefT16x_0" localSheetId="49">'300 &amp; 317'!$T$94:$T$141</definedName>
    <definedName name="OSRRefT16x_0" localSheetId="52">'307'!$T$26:$T$33</definedName>
    <definedName name="OSRRefT16x_0" localSheetId="53">'308'!$T$38:$T$53</definedName>
    <definedName name="OSRRefT16x_0" localSheetId="64">'309'!$T$16</definedName>
    <definedName name="OSRRefT16x_0" localSheetId="63">'310'!$T$23:$T$25</definedName>
    <definedName name="OSRRefT16x_0" localSheetId="71">'310 &amp; 491'!$T$27:$T$29</definedName>
    <definedName name="OSRRefT16x_0" localSheetId="54">'311'!$T$37:$T$52</definedName>
    <definedName name="OSRRefT16x_0" localSheetId="65">'313'!$T$20:$T$21</definedName>
    <definedName name="OSRRefT16x_0" localSheetId="57">'315'!$T$53:$T$75</definedName>
    <definedName name="OSRRefT16x_0" localSheetId="62">'317'!$T$33:$T$46</definedName>
    <definedName name="OSRRefT16x_0" localSheetId="66">'321'!$T$18:$T$20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'326'!$T$36:$T$42</definedName>
    <definedName name="OSRRefT16x_0" localSheetId="69">'327'!$T$17:$T$18</definedName>
    <definedName name="OSRRefT16x_0" localSheetId="51">'330'!$T$29:$T$36</definedName>
    <definedName name="OSRRefT16x_0" localSheetId="56">'331'!$T$53:$T$76</definedName>
    <definedName name="OSRRefT16x_0" localSheetId="59">'332'!$T$27:$T$28</definedName>
    <definedName name="OSRRefT16x_0" localSheetId="73">'405'!$T$17:$T$18</definedName>
    <definedName name="OSRRefT16x_0" localSheetId="76">'412'!$T$16</definedName>
    <definedName name="OSRRefT16x_0" localSheetId="77">'413'!$T$17</definedName>
    <definedName name="OSRRefT16x_0" localSheetId="78">'414'!$T$18:$T$19</definedName>
    <definedName name="OSRRefT16x_0" localSheetId="79">'415'!$T$19:$T$21</definedName>
    <definedName name="OSRRefT16x_0" localSheetId="80">'418'!$T$17:$T$18</definedName>
    <definedName name="OSRRefT16x_0" localSheetId="84">'425'!$T$15</definedName>
    <definedName name="OSRRefT16x_0" localSheetId="88">'433'!$T$19:$T$21</definedName>
    <definedName name="OSRRefT16x_0" localSheetId="90">'444'!$T$19:$T$21</definedName>
    <definedName name="OSRRefT16x_0" localSheetId="91">'450'!$T$17</definedName>
    <definedName name="OSRRefT16x_0" localSheetId="72">'491'!$T$21:$T$23</definedName>
    <definedName name="OSRRefT16x_0" localSheetId="86">'492'!$T$19:$T$21</definedName>
    <definedName name="OSRRefT16x_0" localSheetId="47">'Div 3'!$T$82:$T$122</definedName>
    <definedName name="OSRRefT16x_0" localSheetId="70">'Div 4'!$T$23:$T$25</definedName>
    <definedName name="OSRRefT16x_0" localSheetId="61">'Div 6'!$T$33:$T$46</definedName>
    <definedName name="OSRRefT16x_0" localSheetId="2">Summary!$T$101:$T$150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'300'!$T$124:$T$133</definedName>
    <definedName name="OSRRefT22_0x_0" localSheetId="49">'300 &amp; 317'!$T$147:$T$156</definedName>
    <definedName name="OSRRefT22_0x_0" localSheetId="50">'301'!$T$20:$T$29</definedName>
    <definedName name="OSRRefT22_0x_0" localSheetId="52">'307'!$T$39:$T$46</definedName>
    <definedName name="OSRRefT22_0x_0" localSheetId="53">'308'!$T$59:$T$68</definedName>
    <definedName name="OSRRefT22_0x_0" localSheetId="64">'309'!$T$22:$T$29</definedName>
    <definedName name="OSRRefT22_0x_0" localSheetId="63">'310'!$T$31:$T$39</definedName>
    <definedName name="OSRRefT22_0x_0" localSheetId="71">'310 &amp; 491'!$T$35:$T$43</definedName>
    <definedName name="OSRRefT22_0x_0" localSheetId="54">'311'!$T$58:$T$67</definedName>
    <definedName name="OSRRefT22_0x_0" localSheetId="65">'313'!$T$27:$T$35</definedName>
    <definedName name="OSRRefT22_0x_0" localSheetId="57">'315'!$T$81:$T$89</definedName>
    <definedName name="OSRRefT22_0x_0" localSheetId="60">'316'!$T$32:$T$40</definedName>
    <definedName name="OSRRefT22_0x_0" localSheetId="62">'317'!$T$52:$T$61</definedName>
    <definedName name="OSRRefT22_0x_0" localSheetId="66">'321'!$T$26:$T$34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'326'!$T$48:$T$56</definedName>
    <definedName name="OSRRefT22_0x_0" localSheetId="69">'327'!$T$24</definedName>
    <definedName name="OSRRefT22_0x_0" localSheetId="51">'330'!$T$42:$T$50</definedName>
    <definedName name="OSRRefT22_0x_0" localSheetId="56">'331'!$T$82:$T$90</definedName>
    <definedName name="OSRRefT22_0x_0" localSheetId="59">'332'!$T$34:$T$42</definedName>
    <definedName name="OSRRefT22_0x_0" localSheetId="73">'405'!$T$24:$T$31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7">'413'!$T$23:$T$31</definedName>
    <definedName name="OSRRefT22_0x_0" localSheetId="78">'414'!$T$25:$T$33</definedName>
    <definedName name="OSRRefT22_0x_0" localSheetId="79">'415'!$T$27:$T$35</definedName>
    <definedName name="OSRRefT22_0x_0" localSheetId="80">'418'!$T$24:$T$31</definedName>
    <definedName name="OSRRefT22_0x_0" localSheetId="81">'420'!$T$21</definedName>
    <definedName name="OSRRefT22_0x_0" localSheetId="82">'423'!$T$20:$T$27</definedName>
    <definedName name="OSRRefT22_0x_0" localSheetId="83">'424'!$T$20</definedName>
    <definedName name="OSRRefT22_0x_0" localSheetId="84">'425'!$T$21:$T$25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'450'!$T$23:$T$32</definedName>
    <definedName name="OSRRefT22_0x_0" localSheetId="72">'491'!$T$29:$T$37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3'!$T$128:$T$137</definedName>
    <definedName name="OSRRefT22_0x_0" localSheetId="70">'Div 4'!$T$31:$T$40</definedName>
    <definedName name="OSRRefT22_0x_0" localSheetId="92">'Div 5'!$T$21:$T$30</definedName>
    <definedName name="OSRRefT22_0x_0" localSheetId="61">'Div 6'!$T$52:$T$61</definedName>
    <definedName name="OSRRefT22_0x_0" localSheetId="2">Summary!$T$156:$T$165</definedName>
    <definedName name="OSRRefT22_10x_0" localSheetId="41">'201'!$T$59:$T$61</definedName>
    <definedName name="OSRRefT22_10x_0" localSheetId="42">'202'!$T$63</definedName>
    <definedName name="OSRRefT22_10x_0" localSheetId="43">'203'!$T$62</definedName>
    <definedName name="OSRRefT22_10x_0" localSheetId="44">'204'!$T$62:$T$63</definedName>
    <definedName name="OSRRefT22_10x_0" localSheetId="48">'300'!$T$166:$T$167</definedName>
    <definedName name="OSRRefT22_10x_0" localSheetId="49">'300 &amp; 317'!$T$189:$T$190</definedName>
    <definedName name="OSRRefT22_10x_0" localSheetId="50">'301'!$T$60</definedName>
    <definedName name="OSRRefT22_10x_0" localSheetId="52">'307'!$T$77:$T$78</definedName>
    <definedName name="OSRRefT22_10x_0" localSheetId="53">'308'!$T$101:$T$102</definedName>
    <definedName name="OSRRefT22_10x_0" localSheetId="64">'309'!$T$62</definedName>
    <definedName name="OSRRefT22_10x_0" localSheetId="63">'310'!$T$69</definedName>
    <definedName name="OSRRefT22_10x_0" localSheetId="71">'310 &amp; 491'!$T$75</definedName>
    <definedName name="OSRRefT22_10x_0" localSheetId="54">'311'!$T$100:$T$101</definedName>
    <definedName name="OSRRefT22_10x_0" localSheetId="65">'313'!$T$68</definedName>
    <definedName name="OSRRefT22_10x_0" localSheetId="57">'315'!$T$120</definedName>
    <definedName name="OSRRefT22_10x_0" localSheetId="60">'316'!$T$75</definedName>
    <definedName name="OSRRefT22_10x_0" localSheetId="62">'317'!$T$92:$T$95</definedName>
    <definedName name="OSRRefT22_10x_0" localSheetId="66">'321'!$T$66:$T$68</definedName>
    <definedName name="OSRRefT22_10x_0" localSheetId="67">'322'!$T$64</definedName>
    <definedName name="OSRRefT22_10x_0" localSheetId="68">'325'!$T$62</definedName>
    <definedName name="OSRRefT22_10x_0" localSheetId="58">'326'!$T$86</definedName>
    <definedName name="OSRRefT22_10x_0" localSheetId="51">'330'!$T$81:$T$82</definedName>
    <definedName name="OSRRefT22_10x_0" localSheetId="56">'331'!$T$121</definedName>
    <definedName name="OSRRefT22_10x_0" localSheetId="59">'332'!$T$77</definedName>
    <definedName name="OSRRefT22_10x_0" localSheetId="73">'405'!$T$62</definedName>
    <definedName name="OSRRefT22_10x_0" localSheetId="75">'411'!$T$61:$T$64</definedName>
    <definedName name="OSRRefT22_10x_0" localSheetId="76">'412'!$T$60:$T$63</definedName>
    <definedName name="OSRRefT22_10x_0" localSheetId="77">'413'!$T$64:$T$71</definedName>
    <definedName name="OSRRefT22_10x_0" localSheetId="78">'414'!$T$63</definedName>
    <definedName name="OSRRefT22_10x_0" localSheetId="79">'415'!$T$65</definedName>
    <definedName name="OSRRefT22_10x_0" localSheetId="80">'418'!$T$64:$T$65</definedName>
    <definedName name="OSRRefT22_10x_0" localSheetId="88">'433'!$T$65</definedName>
    <definedName name="OSRRefT22_10x_0" localSheetId="90">'444'!$T$65</definedName>
    <definedName name="OSRRefT22_10x_0" localSheetId="91">'450'!$T$61</definedName>
    <definedName name="OSRRefT22_10x_0" localSheetId="72">'491'!$T$68</definedName>
    <definedName name="OSRRefT22_10x_0" localSheetId="86">'492'!$T$65</definedName>
    <definedName name="OSRRefT22_10x_0" localSheetId="93">'501'!$T$63:$T$64</definedName>
    <definedName name="OSRRefT22_10x_0" localSheetId="39">'Div 2'!$T$63</definedName>
    <definedName name="OSRRefT22_10x_0" localSheetId="47">'Div 3'!$T$170:$T$171</definedName>
    <definedName name="OSRRefT22_10x_0" localSheetId="70">'Div 4'!$T$71</definedName>
    <definedName name="OSRRefT22_10x_0" localSheetId="92">'Div 5'!$T$63:$T$64</definedName>
    <definedName name="OSRRefT22_10x_0" localSheetId="61">'Div 6'!$T$92:$T$95</definedName>
    <definedName name="OSRRefT22_10x_0" localSheetId="2">Summary!$T$199:$T$200</definedName>
    <definedName name="OSRRefT22_11x_0" localSheetId="41">'201'!$T$63:$T$64</definedName>
    <definedName name="OSRRefT22_11x_0" localSheetId="42">'202'!$T$65</definedName>
    <definedName name="OSRRefT22_11x_0" localSheetId="43">'203'!$T$64:$T$66</definedName>
    <definedName name="OSRRefT22_11x_0" localSheetId="44">'204'!$T$65</definedName>
    <definedName name="OSRRefT22_11x_0" localSheetId="48">'300'!$T$169:$T$171</definedName>
    <definedName name="OSRRefT22_11x_0" localSheetId="49">'300 &amp; 317'!$T$192:$T$194</definedName>
    <definedName name="OSRRefT22_11x_0" localSheetId="50">'301'!$T$62</definedName>
    <definedName name="OSRRefT22_11x_0" localSheetId="52">'307'!$T$80:$T$83</definedName>
    <definedName name="OSRRefT22_11x_0" localSheetId="53">'308'!$T$104:$T$106</definedName>
    <definedName name="OSRRefT22_11x_0" localSheetId="63">'310'!$T$71</definedName>
    <definedName name="OSRRefT22_11x_0" localSheetId="71">'310 &amp; 491'!$T$77</definedName>
    <definedName name="OSRRefT22_11x_0" localSheetId="54">'311'!$T$103:$T$105</definedName>
    <definedName name="OSRRefT22_11x_0" localSheetId="65">'313'!$T$70</definedName>
    <definedName name="OSRRefT22_11x_0" localSheetId="57">'315'!$T$122</definedName>
    <definedName name="OSRRefT22_11x_0" localSheetId="60">'316'!$T$77</definedName>
    <definedName name="OSRRefT22_11x_0" localSheetId="62">'317'!$T$97</definedName>
    <definedName name="OSRRefT22_11x_0" localSheetId="66">'321'!$T$70:$T$71</definedName>
    <definedName name="OSRRefT22_11x_0" localSheetId="67">'322'!$T$66</definedName>
    <definedName name="OSRRefT22_11x_0" localSheetId="68">'325'!$T$64:$T$67</definedName>
    <definedName name="OSRRefT22_11x_0" localSheetId="58">'326'!$T$88</definedName>
    <definedName name="OSRRefT22_11x_0" localSheetId="51">'330'!$T$84:$T$87</definedName>
    <definedName name="OSRRefT22_11x_0" localSheetId="56">'331'!$T$123:$T$124</definedName>
    <definedName name="OSRRefT22_11x_0" localSheetId="59">'332'!$T$79</definedName>
    <definedName name="OSRRefT22_11x_0" localSheetId="73">'405'!$T$64:$T$67</definedName>
    <definedName name="OSRRefT22_11x_0" localSheetId="75">'411'!$T$66:$T$67</definedName>
    <definedName name="OSRRefT22_11x_0" localSheetId="76">'412'!$T$65:$T$69</definedName>
    <definedName name="OSRRefT22_11x_0" localSheetId="77">'413'!$T$73:$T$74</definedName>
    <definedName name="OSRRefT22_11x_0" localSheetId="78">'414'!$T$65</definedName>
    <definedName name="OSRRefT22_11x_0" localSheetId="79">'415'!$T$67:$T$68</definedName>
    <definedName name="OSRRefT22_11x_0" localSheetId="80">'418'!$T$67:$T$76</definedName>
    <definedName name="OSRRefT22_11x_0" localSheetId="88">'433'!$T$67:$T$69</definedName>
    <definedName name="OSRRefT22_11x_0" localSheetId="90">'444'!$T$67:$T$70</definedName>
    <definedName name="OSRRefT22_11x_0" localSheetId="91">'450'!$T$63</definedName>
    <definedName name="OSRRefT22_11x_0" localSheetId="72">'491'!$T$70</definedName>
    <definedName name="OSRRefT22_11x_0" localSheetId="86">'492'!$T$67</definedName>
    <definedName name="OSRRefT22_11x_0" localSheetId="93">'501'!$T$66</definedName>
    <definedName name="OSRRefT22_11x_0" localSheetId="39">'Div 2'!$T$65:$T$66</definedName>
    <definedName name="OSRRefT22_11x_0" localSheetId="47">'Div 3'!$T$173:$T$175</definedName>
    <definedName name="OSRRefT22_11x_0" localSheetId="70">'Div 4'!$T$73</definedName>
    <definedName name="OSRRefT22_11x_0" localSheetId="92">'Div 5'!$T$66</definedName>
    <definedName name="OSRRefT22_11x_0" localSheetId="61">'Div 6'!$T$97</definedName>
    <definedName name="OSRRefT22_11x_0" localSheetId="2">Summary!$T$202:$T$204</definedName>
    <definedName name="OSRRefT22_12x_0" localSheetId="41">'201'!$T$66</definedName>
    <definedName name="OSRRefT22_12x_0" localSheetId="42">'202'!$T$67</definedName>
    <definedName name="OSRRefT22_12x_0" localSheetId="43">'203'!$T$68</definedName>
    <definedName name="OSRRefT22_12x_0" localSheetId="44">'204'!$T$67</definedName>
    <definedName name="OSRRefT22_12x_0" localSheetId="48">'300'!$T$173</definedName>
    <definedName name="OSRRefT22_12x_0" localSheetId="49">'300 &amp; 317'!$T$196</definedName>
    <definedName name="OSRRefT22_12x_0" localSheetId="50">'301'!$T$64</definedName>
    <definedName name="OSRRefT22_12x_0" localSheetId="52">'307'!$T$85:$T$86</definedName>
    <definedName name="OSRRefT22_12x_0" localSheetId="53">'308'!$T$108:$T$109</definedName>
    <definedName name="OSRRefT22_12x_0" localSheetId="63">'310'!$T$73</definedName>
    <definedName name="OSRRefT22_12x_0" localSheetId="71">'310 &amp; 491'!$T$79</definedName>
    <definedName name="OSRRefT22_12x_0" localSheetId="54">'311'!$T$107:$T$108</definedName>
    <definedName name="OSRRefT22_12x_0" localSheetId="57">'315'!$T$124:$T$126</definedName>
    <definedName name="OSRRefT22_12x_0" localSheetId="62">'317'!$T$99</definedName>
    <definedName name="OSRRefT22_12x_0" localSheetId="66">'321'!$T$73</definedName>
    <definedName name="OSRRefT22_12x_0" localSheetId="68">'325'!$T$69:$T$71</definedName>
    <definedName name="OSRRefT22_12x_0" localSheetId="58">'326'!$T$90</definedName>
    <definedName name="OSRRefT22_12x_0" localSheetId="51">'330'!$T$89:$T$90</definedName>
    <definedName name="OSRRefT22_12x_0" localSheetId="56">'331'!$T$126</definedName>
    <definedName name="OSRRefT22_12x_0" localSheetId="73">'405'!$T$69</definedName>
    <definedName name="OSRRefT22_12x_0" localSheetId="75">'411'!$T$69:$T$75</definedName>
    <definedName name="OSRRefT22_12x_0" localSheetId="76">'412'!$T$71:$T$72</definedName>
    <definedName name="OSRRefT22_12x_0" localSheetId="77">'413'!$T$76</definedName>
    <definedName name="OSRRefT22_12x_0" localSheetId="78">'414'!$T$67:$T$69</definedName>
    <definedName name="OSRRefT22_12x_0" localSheetId="79">'415'!$T$70:$T$74</definedName>
    <definedName name="OSRRefT22_12x_0" localSheetId="80">'418'!$T$78:$T$79</definedName>
    <definedName name="OSRRefT22_12x_0" localSheetId="88">'433'!$T$71:$T$74</definedName>
    <definedName name="OSRRefT22_12x_0" localSheetId="90">'444'!$T$72:$T$75</definedName>
    <definedName name="OSRRefT22_12x_0" localSheetId="91">'450'!$T$65</definedName>
    <definedName name="OSRRefT22_12x_0" localSheetId="72">'491'!$T$72</definedName>
    <definedName name="OSRRefT22_12x_0" localSheetId="86">'492'!$T$69:$T$72</definedName>
    <definedName name="OSRRefT22_12x_0" localSheetId="93">'501'!$T$68</definedName>
    <definedName name="OSRRefT22_12x_0" localSheetId="39">'Div 2'!$T$68:$T$71</definedName>
    <definedName name="OSRRefT22_12x_0" localSheetId="47">'Div 3'!$T$177</definedName>
    <definedName name="OSRRefT22_12x_0" localSheetId="70">'Div 4'!$T$75</definedName>
    <definedName name="OSRRefT22_12x_0" localSheetId="92">'Div 5'!$T$68</definedName>
    <definedName name="OSRRefT22_12x_0" localSheetId="61">'Div 6'!$T$99</definedName>
    <definedName name="OSRRefT22_12x_0" localSheetId="2">Summary!$T$206</definedName>
    <definedName name="OSRRefT22_13x_0" localSheetId="41">'201'!$T$68:$T$70</definedName>
    <definedName name="OSRRefT22_13x_0" localSheetId="43">'203'!$T$70</definedName>
    <definedName name="OSRRefT22_13x_0" localSheetId="48">'300'!$T$175:$T$176</definedName>
    <definedName name="OSRRefT22_13x_0" localSheetId="49">'300 &amp; 317'!$T$198:$T$199</definedName>
    <definedName name="OSRRefT22_13x_0" localSheetId="50">'301'!$T$66</definedName>
    <definedName name="OSRRefT22_13x_0" localSheetId="52">'307'!$T$88</definedName>
    <definedName name="OSRRefT22_13x_0" localSheetId="53">'308'!$T$111</definedName>
    <definedName name="OSRRefT22_13x_0" localSheetId="63">'310'!$T$75:$T$78</definedName>
    <definedName name="OSRRefT22_13x_0" localSheetId="71">'310 &amp; 491'!$T$81:$T$84</definedName>
    <definedName name="OSRRefT22_13x_0" localSheetId="54">'311'!$T$110</definedName>
    <definedName name="OSRRefT22_13x_0" localSheetId="57">'315'!$T$128:$T$129</definedName>
    <definedName name="OSRRefT22_13x_0" localSheetId="66">'321'!$T$75</definedName>
    <definedName name="OSRRefT22_13x_0" localSheetId="68">'325'!$T$73</definedName>
    <definedName name="OSRRefT22_13x_0" localSheetId="58">'326'!$T$92:$T$94</definedName>
    <definedName name="OSRRefT22_13x_0" localSheetId="51">'330'!$T$92</definedName>
    <definedName name="OSRRefT22_13x_0" localSheetId="56">'331'!$T$128</definedName>
    <definedName name="OSRRefT22_13x_0" localSheetId="73">'405'!$T$71:$T$79</definedName>
    <definedName name="OSRRefT22_13x_0" localSheetId="75">'411'!$T$77</definedName>
    <definedName name="OSRRefT22_13x_0" localSheetId="76">'412'!$T$74</definedName>
    <definedName name="OSRRefT22_13x_0" localSheetId="78">'414'!$T$71</definedName>
    <definedName name="OSRRefT22_13x_0" localSheetId="79">'415'!$T$76</definedName>
    <definedName name="OSRRefT22_13x_0" localSheetId="80">'418'!$T$81</definedName>
    <definedName name="OSRRefT22_13x_0" localSheetId="88">'433'!$T$76:$T$83</definedName>
    <definedName name="OSRRefT22_13x_0" localSheetId="90">'444'!$T$77</definedName>
    <definedName name="OSRRefT22_13x_0" localSheetId="91">'450'!$T$67:$T$69</definedName>
    <definedName name="OSRRefT22_13x_0" localSheetId="72">'491'!$T$74:$T$77</definedName>
    <definedName name="OSRRefT22_13x_0" localSheetId="86">'492'!$T$74:$T$77</definedName>
    <definedName name="OSRRefT22_13x_0" localSheetId="39">'Div 2'!$T$73:$T$76</definedName>
    <definedName name="OSRRefT22_13x_0" localSheetId="47">'Div 3'!$T$179</definedName>
    <definedName name="OSRRefT22_13x_0" localSheetId="70">'Div 4'!$T$77</definedName>
    <definedName name="OSRRefT22_13x_0" localSheetId="2">Summary!$T$208</definedName>
    <definedName name="OSRRefT22_14x_0" localSheetId="41">'201'!$T$72</definedName>
    <definedName name="OSRRefT22_14x_0" localSheetId="43">'203'!$T$72</definedName>
    <definedName name="OSRRefT22_14x_0" localSheetId="48">'300'!$T$178</definedName>
    <definedName name="OSRRefT22_14x_0" localSheetId="49">'300 &amp; 317'!$T$201</definedName>
    <definedName name="OSRRefT22_14x_0" localSheetId="50">'301'!$T$68:$T$71</definedName>
    <definedName name="OSRRefT22_14x_0" localSheetId="53">'308'!$T$113</definedName>
    <definedName name="OSRRefT22_14x_0" localSheetId="63">'310'!$T$80:$T$81</definedName>
    <definedName name="OSRRefT22_14x_0" localSheetId="71">'310 &amp; 491'!$T$86:$T$87</definedName>
    <definedName name="OSRRefT22_14x_0" localSheetId="54">'311'!$T$112</definedName>
    <definedName name="OSRRefT22_14x_0" localSheetId="57">'315'!$T$131:$T$137</definedName>
    <definedName name="OSRRefT22_14x_0" localSheetId="68">'325'!$T$75:$T$79</definedName>
    <definedName name="OSRRefT22_14x_0" localSheetId="58">'326'!$T$96:$T$98</definedName>
    <definedName name="OSRRefT22_14x_0" localSheetId="56">'331'!$T$130:$T$132</definedName>
    <definedName name="OSRRefT22_14x_0" localSheetId="73">'405'!$T$81</definedName>
    <definedName name="OSRRefT22_14x_0" localSheetId="75">'411'!$T$79</definedName>
    <definedName name="OSRRefT22_14x_0" localSheetId="78">'414'!$T$73</definedName>
    <definedName name="OSRRefT22_14x_0" localSheetId="79">'415'!$T$78:$T$85</definedName>
    <definedName name="OSRRefT22_14x_0" localSheetId="88">'433'!$T$85</definedName>
    <definedName name="OSRRefT22_14x_0" localSheetId="90">'444'!$T$79:$T$87</definedName>
    <definedName name="OSRRefT22_14x_0" localSheetId="91">'450'!$T$71:$T$77</definedName>
    <definedName name="OSRRefT22_14x_0" localSheetId="72">'491'!$T$79:$T$80</definedName>
    <definedName name="OSRRefT22_14x_0" localSheetId="86">'492'!$T$79</definedName>
    <definedName name="OSRRefT22_14x_0" localSheetId="39">'Div 2'!$T$78:$T$79</definedName>
    <definedName name="OSRRefT22_14x_0" localSheetId="47">'Div 3'!$T$181:$T$182</definedName>
    <definedName name="OSRRefT22_14x_0" localSheetId="70">'Div 4'!$T$79</definedName>
    <definedName name="OSRRefT22_14x_0" localSheetId="2">Summary!$T$210:$T$211</definedName>
    <definedName name="OSRRefT22_15x_0" localSheetId="41">'201'!$T$74</definedName>
    <definedName name="OSRRefT22_15x_0" localSheetId="48">'300'!$T$180</definedName>
    <definedName name="OSRRefT22_15x_0" localSheetId="49">'300 &amp; 317'!$T$203</definedName>
    <definedName name="OSRRefT22_15x_0" localSheetId="50">'301'!$T$73:$T$75</definedName>
    <definedName name="OSRRefT22_15x_0" localSheetId="63">'310'!$T$83:$T$86</definedName>
    <definedName name="OSRRefT22_15x_0" localSheetId="71">'310 &amp; 491'!$T$89:$T$93</definedName>
    <definedName name="OSRRefT22_15x_0" localSheetId="57">'315'!$T$139</definedName>
    <definedName name="OSRRefT22_15x_0" localSheetId="68">'325'!$T$81:$T$82</definedName>
    <definedName name="OSRRefT22_15x_0" localSheetId="58">'326'!$T$100:$T$101</definedName>
    <definedName name="OSRRefT22_15x_0" localSheetId="56">'331'!$T$134:$T$136</definedName>
    <definedName name="OSRRefT22_15x_0" localSheetId="73">'405'!$T$83</definedName>
    <definedName name="OSRRefT22_15x_0" localSheetId="75">'411'!$T$81</definedName>
    <definedName name="OSRRefT22_15x_0" localSheetId="78">'414'!$T$75</definedName>
    <definedName name="OSRRefT22_15x_0" localSheetId="79">'415'!$T$87:$T$88</definedName>
    <definedName name="OSRRefT22_15x_0" localSheetId="88">'433'!$T$87</definedName>
    <definedName name="OSRRefT22_15x_0" localSheetId="90">'444'!$T$89:$T$90</definedName>
    <definedName name="OSRRefT22_15x_0" localSheetId="91">'450'!$T$79:$T$80</definedName>
    <definedName name="OSRRefT22_15x_0" localSheetId="72">'491'!$T$82:$T$86</definedName>
    <definedName name="OSRRefT22_15x_0" localSheetId="86">'492'!$T$81:$T$90</definedName>
    <definedName name="OSRRefT22_15x_0" localSheetId="39">'Div 2'!$T$81:$T$82</definedName>
    <definedName name="OSRRefT22_15x_0" localSheetId="47">'Div 3'!$T$184</definedName>
    <definedName name="OSRRefT22_15x_0" localSheetId="70">'Div 4'!$T$81:$T$84</definedName>
    <definedName name="OSRRefT22_15x_0" localSheetId="2">Summary!$T$213</definedName>
    <definedName name="OSRRefT22_16x_0" localSheetId="41">'201'!$T$76</definedName>
    <definedName name="OSRRefT22_16x_0" localSheetId="48">'300'!$T$182:$T$185</definedName>
    <definedName name="OSRRefT22_16x_0" localSheetId="49">'300 &amp; 317'!$T$205:$T$208</definedName>
    <definedName name="OSRRefT22_16x_0" localSheetId="50">'301'!$T$77</definedName>
    <definedName name="OSRRefT22_16x_0" localSheetId="63">'310'!$T$88</definedName>
    <definedName name="OSRRefT22_16x_0" localSheetId="71">'310 &amp; 491'!$T$95:$T$96</definedName>
    <definedName name="OSRRefT22_16x_0" localSheetId="57">'315'!$T$141</definedName>
    <definedName name="OSRRefT22_16x_0" localSheetId="68">'325'!$T$84</definedName>
    <definedName name="OSRRefT22_16x_0" localSheetId="58">'326'!$T$103:$T$108</definedName>
    <definedName name="OSRRefT22_16x_0" localSheetId="56">'331'!$T$138:$T$140</definedName>
    <definedName name="OSRRefT22_16x_0" localSheetId="73">'405'!$T$85</definedName>
    <definedName name="OSRRefT22_16x_0" localSheetId="79">'415'!$T$90</definedName>
    <definedName name="OSRRefT22_16x_0" localSheetId="90">'444'!$T$92</definedName>
    <definedName name="OSRRefT22_16x_0" localSheetId="91">'450'!$T$82</definedName>
    <definedName name="OSRRefT22_16x_0" localSheetId="72">'491'!$T$88:$T$89</definedName>
    <definedName name="OSRRefT22_16x_0" localSheetId="86">'492'!$T$92:$T$93</definedName>
    <definedName name="OSRRefT22_16x_0" localSheetId="39">'Div 2'!$T$84:$T$88</definedName>
    <definedName name="OSRRefT22_16x_0" localSheetId="47">'Div 3'!$T$186</definedName>
    <definedName name="OSRRefT22_16x_0" localSheetId="70">'Div 4'!$T$86:$T$87</definedName>
    <definedName name="OSRRefT22_16x_0" localSheetId="2">Summary!$T$215</definedName>
    <definedName name="OSRRefT22_17x_0" localSheetId="48">'300'!$T$187:$T$190</definedName>
    <definedName name="OSRRefT22_17x_0" localSheetId="49">'300 &amp; 317'!$T$210:$T$213</definedName>
    <definedName name="OSRRefT22_17x_0" localSheetId="50">'301'!$T$79:$T$85</definedName>
    <definedName name="OSRRefT22_17x_0" localSheetId="63">'310'!$T$90:$T$96</definedName>
    <definedName name="OSRRefT22_17x_0" localSheetId="71">'310 &amp; 491'!$T$98:$T$108</definedName>
    <definedName name="OSRRefT22_17x_0" localSheetId="57">'315'!$T$143:$T$144</definedName>
    <definedName name="OSRRefT22_17x_0" localSheetId="68">'325'!$T$86</definedName>
    <definedName name="OSRRefT22_17x_0" localSheetId="58">'326'!$T$110:$T$111</definedName>
    <definedName name="OSRRefT22_17x_0" localSheetId="56">'331'!$T$142:$T$143</definedName>
    <definedName name="OSRRefT22_17x_0" localSheetId="73">'405'!$T$87</definedName>
    <definedName name="OSRRefT22_17x_0" localSheetId="79">'415'!$T$92:$T$93</definedName>
    <definedName name="OSRRefT22_17x_0" localSheetId="72">'491'!$T$91:$T$101</definedName>
    <definedName name="OSRRefT22_17x_0" localSheetId="86">'492'!$T$95</definedName>
    <definedName name="OSRRefT22_17x_0" localSheetId="39">'Div 2'!$T$90:$T$91</definedName>
    <definedName name="OSRRefT22_17x_0" localSheetId="47">'Div 3'!$T$188:$T$191</definedName>
    <definedName name="OSRRefT22_17x_0" localSheetId="70">'Div 4'!$T$89:$T$93</definedName>
    <definedName name="OSRRefT22_17x_0" localSheetId="2">Summary!$T$217</definedName>
    <definedName name="OSRRefT22_18x_0" localSheetId="48">'300'!$T$192:$T$195</definedName>
    <definedName name="OSRRefT22_18x_0" localSheetId="49">'300 &amp; 317'!$T$215:$T$218</definedName>
    <definedName name="OSRRefT22_18x_0" localSheetId="50">'301'!$T$87</definedName>
    <definedName name="OSRRefT22_18x_0" localSheetId="63">'310'!$T$98:$T$99</definedName>
    <definedName name="OSRRefT22_18x_0" localSheetId="71">'310 &amp; 491'!$T$110:$T$111</definedName>
    <definedName name="OSRRefT22_18x_0" localSheetId="58">'326'!$T$113</definedName>
    <definedName name="OSRRefT22_18x_0" localSheetId="56">'331'!$T$145:$T$152</definedName>
    <definedName name="OSRRefT22_18x_0" localSheetId="79">'415'!$T$95</definedName>
    <definedName name="OSRRefT22_18x_0" localSheetId="72">'491'!$T$103:$T$104</definedName>
    <definedName name="OSRRefT22_18x_0" localSheetId="86">'492'!$T$97</definedName>
    <definedName name="OSRRefT22_18x_0" localSheetId="39">'Div 2'!$T$93</definedName>
    <definedName name="OSRRefT22_18x_0" localSheetId="47">'Div 3'!$T$193:$T$196</definedName>
    <definedName name="OSRRefT22_18x_0" localSheetId="70">'Div 4'!$T$95:$T$96</definedName>
    <definedName name="OSRRefT22_18x_0" localSheetId="2">Summary!$T$219:$T$222</definedName>
    <definedName name="OSRRefT22_19x_0" localSheetId="48">'300'!$T$197:$T$198</definedName>
    <definedName name="OSRRefT22_19x_0" localSheetId="49">'300 &amp; 317'!$T$220:$T$221</definedName>
    <definedName name="OSRRefT22_19x_0" localSheetId="50">'301'!$T$89</definedName>
    <definedName name="OSRRefT22_19x_0" localSheetId="63">'310'!$T$101</definedName>
    <definedName name="OSRRefT22_19x_0" localSheetId="71">'310 &amp; 491'!$T$113</definedName>
    <definedName name="OSRRefT22_19x_0" localSheetId="58">'326'!$T$115:$T$116</definedName>
    <definedName name="OSRRefT22_19x_0" localSheetId="56">'331'!$T$154:$T$155</definedName>
    <definedName name="OSRRefT22_19x_0" localSheetId="72">'491'!$T$106</definedName>
    <definedName name="OSRRefT22_19x_0" localSheetId="39">'Div 2'!$T$95:$T$96</definedName>
    <definedName name="OSRRefT22_19x_0" localSheetId="47">'Div 3'!$T$198:$T$202</definedName>
    <definedName name="OSRRefT22_19x_0" localSheetId="70">'Div 4'!$T$98:$T$108</definedName>
    <definedName name="OSRRefT22_19x_0" localSheetId="2">Summary!$T$224:$T$227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'300'!$T$135:$T$144</definedName>
    <definedName name="OSRRefT22_1x_0" localSheetId="49">'300 &amp; 317'!$T$158:$T$167</definedName>
    <definedName name="OSRRefT22_1x_0" localSheetId="50">'301'!$T$31:$T$40</definedName>
    <definedName name="OSRRefT22_1x_0" localSheetId="52">'307'!$T$48:$T$57</definedName>
    <definedName name="OSRRefT22_1x_0" localSheetId="53">'308'!$T$70:$T$79</definedName>
    <definedName name="OSRRefT22_1x_0" localSheetId="64">'309'!$T$31:$T$40</definedName>
    <definedName name="OSRRefT22_1x_0" localSheetId="63">'310'!$T$41:$T$50</definedName>
    <definedName name="OSRRefT22_1x_0" localSheetId="71">'310 &amp; 491'!$T$45:$T$54</definedName>
    <definedName name="OSRRefT22_1x_0" localSheetId="54">'311'!$T$69:$T$78</definedName>
    <definedName name="OSRRefT22_1x_0" localSheetId="65">'313'!$T$37:$T$46</definedName>
    <definedName name="OSRRefT22_1x_0" localSheetId="57">'315'!$T$91:$T$100</definedName>
    <definedName name="OSRRefT22_1x_0" localSheetId="60">'316'!$T$42:$T$51</definedName>
    <definedName name="OSRRefT22_1x_0" localSheetId="62">'317'!$T$63:$T$72</definedName>
    <definedName name="OSRRefT22_1x_0" localSheetId="66">'321'!$T$36:$T$45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'326'!$T$58:$T$67</definedName>
    <definedName name="OSRRefT22_1x_0" localSheetId="51">'330'!$T$52:$T$61</definedName>
    <definedName name="OSRRefT22_1x_0" localSheetId="56">'331'!$T$92:$T$101</definedName>
    <definedName name="OSRRefT22_1x_0" localSheetId="59">'332'!$T$44:$T$53</definedName>
    <definedName name="OSRRefT22_1x_0" localSheetId="73">'405'!$T$33:$T$42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7">'413'!$T$33:$T$42</definedName>
    <definedName name="OSRRefT22_1x_0" localSheetId="78">'414'!$T$35:$T$44</definedName>
    <definedName name="OSRRefT22_1x_0" localSheetId="79">'415'!$T$37:$T$46</definedName>
    <definedName name="OSRRefT22_1x_0" localSheetId="80">'418'!$T$33:$T$42</definedName>
    <definedName name="OSRRefT22_1x_0" localSheetId="81">'420'!$T$23</definedName>
    <definedName name="OSRRefT22_1x_0" localSheetId="82">'423'!$T$29:$T$38</definedName>
    <definedName name="OSRRefT22_1x_0" localSheetId="83">'424'!$T$22</definedName>
    <definedName name="OSRRefT22_1x_0" localSheetId="84">'425'!$T$27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'450'!$T$34:$T$43</definedName>
    <definedName name="OSRRefT22_1x_0" localSheetId="72">'491'!$T$39:$T$48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3'!$T$139:$T$148</definedName>
    <definedName name="OSRRefT22_1x_0" localSheetId="70">'Div 4'!$T$42:$T$51</definedName>
    <definedName name="OSRRefT22_1x_0" localSheetId="92">'Div 5'!$T$32:$T$41</definedName>
    <definedName name="OSRRefT22_1x_0" localSheetId="61">'Div 6'!$T$63:$T$72</definedName>
    <definedName name="OSRRefT22_1x_0" localSheetId="2">Summary!$T$167:$T$176</definedName>
    <definedName name="OSRRefT22_20x_0" localSheetId="48">'300'!$T$200:$T$208</definedName>
    <definedName name="OSRRefT22_20x_0" localSheetId="49">'300 &amp; 317'!$T$223:$T$231</definedName>
    <definedName name="OSRRefT22_20x_0" localSheetId="50">'301'!$T$91:$T$92</definedName>
    <definedName name="OSRRefT22_20x_0" localSheetId="63">'310'!$T$103</definedName>
    <definedName name="OSRRefT22_20x_0" localSheetId="71">'310 &amp; 491'!$T$115:$T$117</definedName>
    <definedName name="OSRRefT22_20x_0" localSheetId="58">'326'!$T$118</definedName>
    <definedName name="OSRRefT22_20x_0" localSheetId="56">'331'!$T$157</definedName>
    <definedName name="OSRRefT22_20x_0" localSheetId="72">'491'!$T$108:$T$110</definedName>
    <definedName name="OSRRefT22_20x_0" localSheetId="47">'Div 3'!$T$204:$T$205</definedName>
    <definedName name="OSRRefT22_20x_0" localSheetId="70">'Div 4'!$T$110:$T$111</definedName>
    <definedName name="OSRRefT22_20x_0" localSheetId="2">Summary!$T$229:$T$233</definedName>
    <definedName name="OSRRefT22_21x_0" localSheetId="48">'300'!$T$210:$T$211</definedName>
    <definedName name="OSRRefT22_21x_0" localSheetId="49">'300 &amp; 317'!$T$233:$T$234</definedName>
    <definedName name="OSRRefT22_21x_0" localSheetId="50">'301'!$T$94</definedName>
    <definedName name="OSRRefT22_21x_0" localSheetId="63">'310'!$T$105</definedName>
    <definedName name="OSRRefT22_21x_0" localSheetId="71">'310 &amp; 491'!$T$119</definedName>
    <definedName name="OSRRefT22_21x_0" localSheetId="56">'331'!$T$159:$T$160</definedName>
    <definedName name="OSRRefT22_21x_0" localSheetId="72">'491'!$T$112</definedName>
    <definedName name="OSRRefT22_21x_0" localSheetId="47">'Div 3'!$T$207:$T$215</definedName>
    <definedName name="OSRRefT22_21x_0" localSheetId="70">'Div 4'!$T$113</definedName>
    <definedName name="OSRRefT22_21x_0" localSheetId="2">Summary!$T$235:$T$236</definedName>
    <definedName name="OSRRefT22_22x_0" localSheetId="48">'300'!$T$213</definedName>
    <definedName name="OSRRefT22_22x_0" localSheetId="49">'300 &amp; 317'!$T$236</definedName>
    <definedName name="OSRRefT22_22x_0" localSheetId="56">'331'!$T$162</definedName>
    <definedName name="OSRRefT22_22x_0" localSheetId="47">'Div 3'!$T$217:$T$218</definedName>
    <definedName name="OSRRefT22_22x_0" localSheetId="70">'Div 4'!$T$115:$T$117</definedName>
    <definedName name="OSRRefT22_22x_0" localSheetId="2">Summary!$T$238:$T$248</definedName>
    <definedName name="OSRRefT22_23x_0" localSheetId="48">'300'!$T$215:$T$217</definedName>
    <definedName name="OSRRefT22_23x_0" localSheetId="49">'300 &amp; 317'!$T$238:$T$240</definedName>
    <definedName name="OSRRefT22_23x_0" localSheetId="47">'Div 3'!$T$220</definedName>
    <definedName name="OSRRefT22_23x_0" localSheetId="70">'Div 4'!$T$119</definedName>
    <definedName name="OSRRefT22_23x_0" localSheetId="2">Summary!$T$250:$T$251</definedName>
    <definedName name="OSRRefT22_24x_0" localSheetId="48">'300'!$T$219</definedName>
    <definedName name="OSRRefT22_24x_0" localSheetId="49">'300 &amp; 317'!$T$242</definedName>
    <definedName name="OSRRefT22_24x_0" localSheetId="47">'Div 3'!$T$222:$T$224</definedName>
    <definedName name="OSRRefT22_24x_0" localSheetId="2">Summary!$T$253</definedName>
    <definedName name="OSRRefT22_25x_0" localSheetId="47">'Div 3'!$T$226</definedName>
    <definedName name="OSRRefT22_25x_0" localSheetId="2">Summary!$T$255:$T$257</definedName>
    <definedName name="OSRRefT22_26x_0" localSheetId="2">Summary!$T$259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'300'!$T$146</definedName>
    <definedName name="OSRRefT22_2x_0" localSheetId="49">'300 &amp; 317'!$T$169</definedName>
    <definedName name="OSRRefT22_2x_0" localSheetId="50">'301'!$T$42</definedName>
    <definedName name="OSRRefT22_2x_0" localSheetId="52">'307'!$T$59</definedName>
    <definedName name="OSRRefT22_2x_0" localSheetId="53">'308'!$T$81</definedName>
    <definedName name="OSRRefT22_2x_0" localSheetId="64">'309'!$T$42</definedName>
    <definedName name="OSRRefT22_2x_0" localSheetId="63">'310'!$T$52</definedName>
    <definedName name="OSRRefT22_2x_0" localSheetId="71">'310 &amp; 491'!$T$56</definedName>
    <definedName name="OSRRefT22_2x_0" localSheetId="54">'311'!$T$80</definedName>
    <definedName name="OSRRefT22_2x_0" localSheetId="65">'313'!$T$48</definedName>
    <definedName name="OSRRefT22_2x_0" localSheetId="57">'315'!$T$102</definedName>
    <definedName name="OSRRefT22_2x_0" localSheetId="60">'316'!$T$53</definedName>
    <definedName name="OSRRefT22_2x_0" localSheetId="62">'317'!$T$74</definedName>
    <definedName name="OSRRefT22_2x_0" localSheetId="66">'321'!$T$47</definedName>
    <definedName name="OSRRefT22_2x_0" localSheetId="67">'322'!$T$43</definedName>
    <definedName name="OSRRefT22_2x_0" localSheetId="68">'325'!$T$45</definedName>
    <definedName name="OSRRefT22_2x_0" localSheetId="58">'326'!$T$69</definedName>
    <definedName name="OSRRefT22_2x_0" localSheetId="51">'330'!$T$63</definedName>
    <definedName name="OSRRefT22_2x_0" localSheetId="56">'331'!$T$103</definedName>
    <definedName name="OSRRefT22_2x_0" localSheetId="59">'332'!$T$55</definedName>
    <definedName name="OSRRefT22_2x_0" localSheetId="73">'405'!$T$44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7">'413'!$T$44</definedName>
    <definedName name="OSRRefT22_2x_0" localSheetId="78">'414'!$T$46</definedName>
    <definedName name="OSRRefT22_2x_0" localSheetId="79">'415'!$T$48</definedName>
    <definedName name="OSRRefT22_2x_0" localSheetId="80">'418'!$T$44</definedName>
    <definedName name="OSRRefT22_2x_0" localSheetId="82">'423'!$T$40</definedName>
    <definedName name="OSRRefT22_2x_0" localSheetId="83">'424'!$T$24</definedName>
    <definedName name="OSRRefT22_2x_0" localSheetId="84">'425'!$T$29</definedName>
    <definedName name="OSRRefT22_2x_0" localSheetId="87">'430'!$T$41</definedName>
    <definedName name="OSRRefT22_2x_0" localSheetId="88">'433'!$T$49</definedName>
    <definedName name="OSRRefT22_2x_0" localSheetId="90">'444'!$T$49</definedName>
    <definedName name="OSRRefT22_2x_0" localSheetId="91">'450'!$T$45</definedName>
    <definedName name="OSRRefT22_2x_0" localSheetId="72">'491'!$T$50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3'!$T$150</definedName>
    <definedName name="OSRRefT22_2x_0" localSheetId="70">'Div 4'!$T$53</definedName>
    <definedName name="OSRRefT22_2x_0" localSheetId="92">'Div 5'!$T$43</definedName>
    <definedName name="OSRRefT22_2x_0" localSheetId="61">'Div 6'!$T$74</definedName>
    <definedName name="OSRRefT22_2x_0" localSheetId="2">Summary!$T$178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'300'!$T$148:$T$149</definedName>
    <definedName name="OSRRefT22_3x_0" localSheetId="49">'300 &amp; 317'!$T$171:$T$172</definedName>
    <definedName name="OSRRefT22_3x_0" localSheetId="50">'301'!$T$44:$T$45</definedName>
    <definedName name="OSRRefT22_3x_0" localSheetId="52">'307'!$T$61</definedName>
    <definedName name="OSRRefT22_3x_0" localSheetId="53">'308'!$T$83:$T$84</definedName>
    <definedName name="OSRRefT22_3x_0" localSheetId="64">'309'!$T$44</definedName>
    <definedName name="OSRRefT22_3x_0" localSheetId="63">'310'!$T$54</definedName>
    <definedName name="OSRRefT22_3x_0" localSheetId="71">'310 &amp; 491'!$T$58</definedName>
    <definedName name="OSRRefT22_3x_0" localSheetId="54">'311'!$T$82:$T$83</definedName>
    <definedName name="OSRRefT22_3x_0" localSheetId="65">'313'!$T$50</definedName>
    <definedName name="OSRRefT22_3x_0" localSheetId="57">'315'!$T$104</definedName>
    <definedName name="OSRRefT22_3x_0" localSheetId="60">'316'!$T$55</definedName>
    <definedName name="OSRRefT22_3x_0" localSheetId="62">'317'!$T$76</definedName>
    <definedName name="OSRRefT22_3x_0" localSheetId="66">'321'!$T$49</definedName>
    <definedName name="OSRRefT22_3x_0" localSheetId="67">'322'!$T$45</definedName>
    <definedName name="OSRRefT22_3x_0" localSheetId="68">'325'!$T$47</definedName>
    <definedName name="OSRRefT22_3x_0" localSheetId="58">'326'!$T$71</definedName>
    <definedName name="OSRRefT22_3x_0" localSheetId="51">'330'!$T$65</definedName>
    <definedName name="OSRRefT22_3x_0" localSheetId="56">'331'!$T$105</definedName>
    <definedName name="OSRRefT22_3x_0" localSheetId="59">'332'!$T$57</definedName>
    <definedName name="OSRRefT22_3x_0" localSheetId="73">'405'!$T$46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7">'413'!$T$46</definedName>
    <definedName name="OSRRefT22_3x_0" localSheetId="78">'414'!$T$48</definedName>
    <definedName name="OSRRefT22_3x_0" localSheetId="79">'415'!$T$50</definedName>
    <definedName name="OSRRefT22_3x_0" localSheetId="80">'418'!$T$46</definedName>
    <definedName name="OSRRefT22_3x_0" localSheetId="82">'423'!$T$42:$T$43</definedName>
    <definedName name="OSRRefT22_3x_0" localSheetId="83">'424'!$T$26</definedName>
    <definedName name="OSRRefT22_3x_0" localSheetId="84">'425'!$T$31</definedName>
    <definedName name="OSRRefT22_3x_0" localSheetId="87">'430'!$T$43</definedName>
    <definedName name="OSRRefT22_3x_0" localSheetId="88">'433'!$T$51</definedName>
    <definedName name="OSRRefT22_3x_0" localSheetId="90">'444'!$T$51</definedName>
    <definedName name="OSRRefT22_3x_0" localSheetId="91">'450'!$T$47</definedName>
    <definedName name="OSRRefT22_3x_0" localSheetId="72">'491'!$T$52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3'!$T$152:$T$153</definedName>
    <definedName name="OSRRefT22_3x_0" localSheetId="70">'Div 4'!$T$55</definedName>
    <definedName name="OSRRefT22_3x_0" localSheetId="92">'Div 5'!$T$45</definedName>
    <definedName name="OSRRefT22_3x_0" localSheetId="61">'Div 6'!$T$76</definedName>
    <definedName name="OSRRefT22_3x_0" localSheetId="2">Summary!$T$180:$T$181</definedName>
    <definedName name="OSRRefT22_4x_0" localSheetId="40">'200'!$T$28:$T$29</definedName>
    <definedName name="OSRRefT22_4x_0" localSheetId="41">'201'!$T$46:$T$47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'300'!$T$151</definedName>
    <definedName name="OSRRefT22_4x_0" localSheetId="49">'300 &amp; 317'!$T$174</definedName>
    <definedName name="OSRRefT22_4x_0" localSheetId="50">'301'!$T$47</definedName>
    <definedName name="OSRRefT22_4x_0" localSheetId="52">'307'!$T$63</definedName>
    <definedName name="OSRRefT22_4x_0" localSheetId="53">'308'!$T$86</definedName>
    <definedName name="OSRRefT22_4x_0" localSheetId="64">'309'!$T$46</definedName>
    <definedName name="OSRRefT22_4x_0" localSheetId="63">'310'!$T$56</definedName>
    <definedName name="OSRRefT22_4x_0" localSheetId="71">'310 &amp; 491'!$T$60</definedName>
    <definedName name="OSRRefT22_4x_0" localSheetId="54">'311'!$T$85</definedName>
    <definedName name="OSRRefT22_4x_0" localSheetId="65">'313'!$T$52</definedName>
    <definedName name="OSRRefT22_4x_0" localSheetId="57">'315'!$T$106</definedName>
    <definedName name="OSRRefT22_4x_0" localSheetId="60">'316'!$T$57</definedName>
    <definedName name="OSRRefT22_4x_0" localSheetId="62">'317'!$T$78</definedName>
    <definedName name="OSRRefT22_4x_0" localSheetId="66">'321'!$T$51</definedName>
    <definedName name="OSRRefT22_4x_0" localSheetId="67">'322'!$T$47</definedName>
    <definedName name="OSRRefT22_4x_0" localSheetId="68">'325'!$T$49</definedName>
    <definedName name="OSRRefT22_4x_0" localSheetId="58">'326'!$T$73</definedName>
    <definedName name="OSRRefT22_4x_0" localSheetId="51">'330'!$T$67</definedName>
    <definedName name="OSRRefT22_4x_0" localSheetId="56">'331'!$T$107</definedName>
    <definedName name="OSRRefT22_4x_0" localSheetId="59">'332'!$T$59</definedName>
    <definedName name="OSRRefT22_4x_0" localSheetId="73">'405'!$T$48:$T$49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7">'413'!$T$48</definedName>
    <definedName name="OSRRefT22_4x_0" localSheetId="78">'414'!$T$50</definedName>
    <definedName name="OSRRefT22_4x_0" localSheetId="79">'415'!$T$52</definedName>
    <definedName name="OSRRefT22_4x_0" localSheetId="80">'418'!$T$48:$T$49</definedName>
    <definedName name="OSRRefT22_4x_0" localSheetId="82">'423'!$T$45</definedName>
    <definedName name="OSRRefT22_4x_0" localSheetId="84">'425'!$T$33:$T$34</definedName>
    <definedName name="OSRRefT22_4x_0" localSheetId="87">'430'!$T$45:$T$47</definedName>
    <definedName name="OSRRefT22_4x_0" localSheetId="88">'433'!$T$53</definedName>
    <definedName name="OSRRefT22_4x_0" localSheetId="90">'444'!$T$53</definedName>
    <definedName name="OSRRefT22_4x_0" localSheetId="91">'450'!$T$49</definedName>
    <definedName name="OSRRefT22_4x_0" localSheetId="72">'491'!$T$54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3'!$T$155</definedName>
    <definedName name="OSRRefT22_4x_0" localSheetId="70">'Div 4'!$T$57</definedName>
    <definedName name="OSRRefT22_4x_0" localSheetId="92">'Div 5'!$T$47</definedName>
    <definedName name="OSRRefT22_4x_0" localSheetId="61">'Div 6'!$T$78</definedName>
    <definedName name="OSRRefT22_4x_0" localSheetId="2">Summary!$T$183</definedName>
    <definedName name="OSRRefT22_5x_0" localSheetId="41">'201'!$T$49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'300'!$T$153:$T$154</definedName>
    <definedName name="OSRRefT22_5x_0" localSheetId="49">'300 &amp; 317'!$T$176:$T$177</definedName>
    <definedName name="OSRRefT22_5x_0" localSheetId="50">'301'!$T$49:$T$50</definedName>
    <definedName name="OSRRefT22_5x_0" localSheetId="52">'307'!$T$65:$T$66</definedName>
    <definedName name="OSRRefT22_5x_0" localSheetId="53">'308'!$T$88</definedName>
    <definedName name="OSRRefT22_5x_0" localSheetId="64">'309'!$T$48</definedName>
    <definedName name="OSRRefT22_5x_0" localSheetId="63">'310'!$T$58:$T$59</definedName>
    <definedName name="OSRRefT22_5x_0" localSheetId="71">'310 &amp; 491'!$T$62:$T$64</definedName>
    <definedName name="OSRRefT22_5x_0" localSheetId="54">'311'!$T$87</definedName>
    <definedName name="OSRRefT22_5x_0" localSheetId="65">'313'!$T$54</definedName>
    <definedName name="OSRRefT22_5x_0" localSheetId="57">'315'!$T$108</definedName>
    <definedName name="OSRRefT22_5x_0" localSheetId="60">'316'!$T$59</definedName>
    <definedName name="OSRRefT22_5x_0" localSheetId="62">'317'!$T$80</definedName>
    <definedName name="OSRRefT22_5x_0" localSheetId="66">'321'!$T$53</definedName>
    <definedName name="OSRRefT22_5x_0" localSheetId="67">'322'!$T$49</definedName>
    <definedName name="OSRRefT22_5x_0" localSheetId="68">'325'!$T$51:$T$52</definedName>
    <definedName name="OSRRefT22_5x_0" localSheetId="58">'326'!$T$75</definedName>
    <definedName name="OSRRefT22_5x_0" localSheetId="51">'330'!$T$69:$T$70</definedName>
    <definedName name="OSRRefT22_5x_0" localSheetId="56">'331'!$T$109</definedName>
    <definedName name="OSRRefT22_5x_0" localSheetId="59">'332'!$T$61</definedName>
    <definedName name="OSRRefT22_5x_0" localSheetId="73">'405'!$T$51</definedName>
    <definedName name="OSRRefT22_5x_0" localSheetId="75">'411'!$T$48</definedName>
    <definedName name="OSRRefT22_5x_0" localSheetId="76">'412'!$T$49</definedName>
    <definedName name="OSRRefT22_5x_0" localSheetId="77">'413'!$T$50</definedName>
    <definedName name="OSRRefT22_5x_0" localSheetId="78">'414'!$T$52</definedName>
    <definedName name="OSRRefT22_5x_0" localSheetId="79">'415'!$T$54:$T$55</definedName>
    <definedName name="OSRRefT22_5x_0" localSheetId="80">'418'!$T$51</definedName>
    <definedName name="OSRRefT22_5x_0" localSheetId="82">'423'!$T$47</definedName>
    <definedName name="OSRRefT22_5x_0" localSheetId="84">'425'!$T$36</definedName>
    <definedName name="OSRRefT22_5x_0" localSheetId="87">'430'!$T$49:$T$50</definedName>
    <definedName name="OSRRefT22_5x_0" localSheetId="88">'433'!$T$55</definedName>
    <definedName name="OSRRefT22_5x_0" localSheetId="90">'444'!$T$55</definedName>
    <definedName name="OSRRefT22_5x_0" localSheetId="91">'450'!$T$51</definedName>
    <definedName name="OSRRefT22_5x_0" localSheetId="72">'491'!$T$56:$T$58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3'!$T$157:$T$158</definedName>
    <definedName name="OSRRefT22_5x_0" localSheetId="70">'Div 4'!$T$59:$T$61</definedName>
    <definedName name="OSRRefT22_5x_0" localSheetId="92">'Div 5'!$T$49:$T$50</definedName>
    <definedName name="OSRRefT22_5x_0" localSheetId="61">'Div 6'!$T$80</definedName>
    <definedName name="OSRRefT22_5x_0" localSheetId="2">Summary!$T$185:$T$187</definedName>
    <definedName name="OSRRefT22_6x_0" localSheetId="41">'201'!$T$51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'205'!$T$50:$T$52</definedName>
    <definedName name="OSRRefT22_6x_0" localSheetId="46">'206'!$T$49</definedName>
    <definedName name="OSRRefT22_6x_0" localSheetId="48">'300'!$T$156:$T$157</definedName>
    <definedName name="OSRRefT22_6x_0" localSheetId="49">'300 &amp; 317'!$T$179:$T$180</definedName>
    <definedName name="OSRRefT22_6x_0" localSheetId="50">'301'!$T$52</definedName>
    <definedName name="OSRRefT22_6x_0" localSheetId="52">'307'!$T$68</definedName>
    <definedName name="OSRRefT22_6x_0" localSheetId="53">'308'!$T$90:$T$91</definedName>
    <definedName name="OSRRefT22_6x_0" localSheetId="64">'309'!$T$50</definedName>
    <definedName name="OSRRefT22_6x_0" localSheetId="63">'310'!$T$61</definedName>
    <definedName name="OSRRefT22_6x_0" localSheetId="71">'310 &amp; 491'!$T$66</definedName>
    <definedName name="OSRRefT22_6x_0" localSheetId="54">'311'!$T$89:$T$90</definedName>
    <definedName name="OSRRefT22_6x_0" localSheetId="65">'313'!$T$56:$T$57</definedName>
    <definedName name="OSRRefT22_6x_0" localSheetId="57">'315'!$T$110</definedName>
    <definedName name="OSRRefT22_6x_0" localSheetId="60">'316'!$T$61:$T$62</definedName>
    <definedName name="OSRRefT22_6x_0" localSheetId="62">'317'!$T$82:$T$83</definedName>
    <definedName name="OSRRefT22_6x_0" localSheetId="66">'321'!$T$55</definedName>
    <definedName name="OSRRefT22_6x_0" localSheetId="67">'322'!$T$51</definedName>
    <definedName name="OSRRefT22_6x_0" localSheetId="68">'325'!$T$54</definedName>
    <definedName name="OSRRefT22_6x_0" localSheetId="58">'326'!$T$77</definedName>
    <definedName name="OSRRefT22_6x_0" localSheetId="51">'330'!$T$72</definedName>
    <definedName name="OSRRefT22_6x_0" localSheetId="56">'331'!$T$111</definedName>
    <definedName name="OSRRefT22_6x_0" localSheetId="59">'332'!$T$63:$T$64</definedName>
    <definedName name="OSRRefT22_6x_0" localSheetId="73">'405'!$T$53</definedName>
    <definedName name="OSRRefT22_6x_0" localSheetId="75">'411'!$T$50</definedName>
    <definedName name="OSRRefT22_6x_0" localSheetId="76">'412'!$T$51</definedName>
    <definedName name="OSRRefT22_6x_0" localSheetId="77">'413'!$T$52</definedName>
    <definedName name="OSRRefT22_6x_0" localSheetId="78">'414'!$T$54</definedName>
    <definedName name="OSRRefT22_6x_0" localSheetId="79">'415'!$T$57</definedName>
    <definedName name="OSRRefT22_6x_0" localSheetId="80">'418'!$T$53</definedName>
    <definedName name="OSRRefT22_6x_0" localSheetId="82">'423'!$T$49</definedName>
    <definedName name="OSRRefT22_6x_0" localSheetId="87">'430'!$T$52</definedName>
    <definedName name="OSRRefT22_6x_0" localSheetId="88">'433'!$T$57</definedName>
    <definedName name="OSRRefT22_6x_0" localSheetId="90">'444'!$T$57</definedName>
    <definedName name="OSRRefT22_6x_0" localSheetId="91">'450'!$T$53</definedName>
    <definedName name="OSRRefT22_6x_0" localSheetId="72">'491'!$T$60</definedName>
    <definedName name="OSRRefT22_6x_0" localSheetId="86">'492'!$T$57</definedName>
    <definedName name="OSRRefT22_6x_0" localSheetId="93">'501'!$T$52</definedName>
    <definedName name="OSRRefT22_6x_0" localSheetId="39">'Div 2'!$T$53:$T$54</definedName>
    <definedName name="OSRRefT22_6x_0" localSheetId="47">'Div 3'!$T$160:$T$161</definedName>
    <definedName name="OSRRefT22_6x_0" localSheetId="70">'Div 4'!$T$63</definedName>
    <definedName name="OSRRefT22_6x_0" localSheetId="92">'Div 5'!$T$52</definedName>
    <definedName name="OSRRefT22_6x_0" localSheetId="61">'Div 6'!$T$82:$T$83</definedName>
    <definedName name="OSRRefT22_6x_0" localSheetId="2">Summary!$T$189:$T$190</definedName>
    <definedName name="OSRRefT22_7x_0" localSheetId="41">'201'!$T$53</definedName>
    <definedName name="OSRRefT22_7x_0" localSheetId="42">'202'!$T$53:$T$55</definedName>
    <definedName name="OSRRefT22_7x_0" localSheetId="43">'203'!$T$52:$T$53</definedName>
    <definedName name="OSRRefT22_7x_0" localSheetId="44">'204'!$T$53:$T$55</definedName>
    <definedName name="OSRRefT22_7x_0" localSheetId="45">'205'!$T$54</definedName>
    <definedName name="OSRRefT22_7x_0" localSheetId="46">'206'!$T$51</definedName>
    <definedName name="OSRRefT22_7x_0" localSheetId="48">'300'!$T$159:$T$160</definedName>
    <definedName name="OSRRefT22_7x_0" localSheetId="49">'300 &amp; 317'!$T$182:$T$183</definedName>
    <definedName name="OSRRefT22_7x_0" localSheetId="50">'301'!$T$54</definedName>
    <definedName name="OSRRefT22_7x_0" localSheetId="52">'307'!$T$70</definedName>
    <definedName name="OSRRefT22_7x_0" localSheetId="53">'308'!$T$93:$T$94</definedName>
    <definedName name="OSRRefT22_7x_0" localSheetId="64">'309'!$T$52:$T$53</definedName>
    <definedName name="OSRRefT22_7x_0" localSheetId="63">'310'!$T$63</definedName>
    <definedName name="OSRRefT22_7x_0" localSheetId="71">'310 &amp; 491'!$T$68</definedName>
    <definedName name="OSRRefT22_7x_0" localSheetId="54">'311'!$T$92:$T$93</definedName>
    <definedName name="OSRRefT22_7x_0" localSheetId="65">'313'!$T$59</definedName>
    <definedName name="OSRRefT22_7x_0" localSheetId="57">'315'!$T$112:$T$113</definedName>
    <definedName name="OSRRefT22_7x_0" localSheetId="60">'316'!$T$64:$T$65</definedName>
    <definedName name="OSRRefT22_7x_0" localSheetId="62">'317'!$T$85</definedName>
    <definedName name="OSRRefT22_7x_0" localSheetId="66">'321'!$T$57:$T$58</definedName>
    <definedName name="OSRRefT22_7x_0" localSheetId="67">'322'!$T$53:$T$54</definedName>
    <definedName name="OSRRefT22_7x_0" localSheetId="68">'325'!$T$56</definedName>
    <definedName name="OSRRefT22_7x_0" localSheetId="58">'326'!$T$79</definedName>
    <definedName name="OSRRefT22_7x_0" localSheetId="51">'330'!$T$74</definedName>
    <definedName name="OSRRefT22_7x_0" localSheetId="56">'331'!$T$113</definedName>
    <definedName name="OSRRefT22_7x_0" localSheetId="59">'332'!$T$66:$T$67</definedName>
    <definedName name="OSRRefT22_7x_0" localSheetId="73">'405'!$T$55</definedName>
    <definedName name="OSRRefT22_7x_0" localSheetId="75">'411'!$T$52</definedName>
    <definedName name="OSRRefT22_7x_0" localSheetId="76">'412'!$T$53</definedName>
    <definedName name="OSRRefT22_7x_0" localSheetId="77">'413'!$T$54</definedName>
    <definedName name="OSRRefT22_7x_0" localSheetId="78">'414'!$T$56</definedName>
    <definedName name="OSRRefT22_7x_0" localSheetId="79">'415'!$T$59</definedName>
    <definedName name="OSRRefT22_7x_0" localSheetId="80">'418'!$T$55</definedName>
    <definedName name="OSRRefT22_7x_0" localSheetId="87">'430'!$T$54</definedName>
    <definedName name="OSRRefT22_7x_0" localSheetId="88">'433'!$T$59</definedName>
    <definedName name="OSRRefT22_7x_0" localSheetId="90">'444'!$T$59</definedName>
    <definedName name="OSRRefT22_7x_0" localSheetId="91">'450'!$T$55</definedName>
    <definedName name="OSRRefT22_7x_0" localSheetId="72">'491'!$T$62</definedName>
    <definedName name="OSRRefT22_7x_0" localSheetId="86">'492'!$T$59</definedName>
    <definedName name="OSRRefT22_7x_0" localSheetId="93">'501'!$T$54</definedName>
    <definedName name="OSRRefT22_7x_0" localSheetId="39">'Div 2'!$T$56</definedName>
    <definedName name="OSRRefT22_7x_0" localSheetId="47">'Div 3'!$T$163:$T$164</definedName>
    <definedName name="OSRRefT22_7x_0" localSheetId="70">'Div 4'!$T$65</definedName>
    <definedName name="OSRRefT22_7x_0" localSheetId="92">'Div 5'!$T$54</definedName>
    <definedName name="OSRRefT22_7x_0" localSheetId="61">'Div 6'!$T$85</definedName>
    <definedName name="OSRRefT22_7x_0" localSheetId="2">Summary!$T$192:$T$193</definedName>
    <definedName name="OSRRefT22_8x_0" localSheetId="41">'201'!$T$55</definedName>
    <definedName name="OSRRefT22_8x_0" localSheetId="42">'202'!$T$57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'300'!$T$162</definedName>
    <definedName name="OSRRefT22_8x_0" localSheetId="49">'300 &amp; 317'!$T$185</definedName>
    <definedName name="OSRRefT22_8x_0" localSheetId="50">'301'!$T$56</definedName>
    <definedName name="OSRRefT22_8x_0" localSheetId="52">'307'!$T$72</definedName>
    <definedName name="OSRRefT22_8x_0" localSheetId="53">'308'!$T$96</definedName>
    <definedName name="OSRRefT22_8x_0" localSheetId="64">'309'!$T$55:$T$56</definedName>
    <definedName name="OSRRefT22_8x_0" localSheetId="63">'310'!$T$65</definedName>
    <definedName name="OSRRefT22_8x_0" localSheetId="71">'310 &amp; 491'!$T$70:$T$71</definedName>
    <definedName name="OSRRefT22_8x_0" localSheetId="54">'311'!$T$95</definedName>
    <definedName name="OSRRefT22_8x_0" localSheetId="65">'313'!$T$61:$T$63</definedName>
    <definedName name="OSRRefT22_8x_0" localSheetId="57">'315'!$T$115</definedName>
    <definedName name="OSRRefT22_8x_0" localSheetId="60">'316'!$T$67</definedName>
    <definedName name="OSRRefT22_8x_0" localSheetId="62">'317'!$T$87</definedName>
    <definedName name="OSRRefT22_8x_0" localSheetId="66">'321'!$T$60:$T$61</definedName>
    <definedName name="OSRRefT22_8x_0" localSheetId="67">'322'!$T$56:$T$57</definedName>
    <definedName name="OSRRefT22_8x_0" localSheetId="68">'325'!$T$58</definedName>
    <definedName name="OSRRefT22_8x_0" localSheetId="58">'326'!$T$81:$T$82</definedName>
    <definedName name="OSRRefT22_8x_0" localSheetId="51">'330'!$T$76</definedName>
    <definedName name="OSRRefT22_8x_0" localSheetId="56">'331'!$T$115:$T$116</definedName>
    <definedName name="OSRRefT22_8x_0" localSheetId="59">'332'!$T$69</definedName>
    <definedName name="OSRRefT22_8x_0" localSheetId="73">'405'!$T$57</definedName>
    <definedName name="OSRRefT22_8x_0" localSheetId="75">'411'!$T$54</definedName>
    <definedName name="OSRRefT22_8x_0" localSheetId="76">'412'!$T$55:$T$56</definedName>
    <definedName name="OSRRefT22_8x_0" localSheetId="77">'413'!$T$56:$T$59</definedName>
    <definedName name="OSRRefT22_8x_0" localSheetId="78">'414'!$T$58:$T$59</definedName>
    <definedName name="OSRRefT22_8x_0" localSheetId="79">'415'!$T$61</definedName>
    <definedName name="OSRRefT22_8x_0" localSheetId="80">'418'!$T$57:$T$59</definedName>
    <definedName name="OSRRefT22_8x_0" localSheetId="88">'433'!$T$61</definedName>
    <definedName name="OSRRefT22_8x_0" localSheetId="90">'444'!$T$61</definedName>
    <definedName name="OSRRefT22_8x_0" localSheetId="91">'450'!$T$57</definedName>
    <definedName name="OSRRefT22_8x_0" localSheetId="72">'491'!$T$64</definedName>
    <definedName name="OSRRefT22_8x_0" localSheetId="86">'492'!$T$61</definedName>
    <definedName name="OSRRefT22_8x_0" localSheetId="93">'501'!$T$56</definedName>
    <definedName name="OSRRefT22_8x_0" localSheetId="39">'Div 2'!$T$58</definedName>
    <definedName name="OSRRefT22_8x_0" localSheetId="47">'Div 3'!$T$166</definedName>
    <definedName name="OSRRefT22_8x_0" localSheetId="70">'Div 4'!$T$67</definedName>
    <definedName name="OSRRefT22_8x_0" localSheetId="92">'Div 5'!$T$56</definedName>
    <definedName name="OSRRefT22_8x_0" localSheetId="61">'Div 6'!$T$87</definedName>
    <definedName name="OSRRefT22_8x_0" localSheetId="2">Summary!$T$195</definedName>
    <definedName name="OSRRefT22_9x_0" localSheetId="41">'201'!$T$57</definedName>
    <definedName name="OSRRefT22_9x_0" localSheetId="42">'202'!$T$59:$T$61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'300'!$T$164</definedName>
    <definedName name="OSRRefT22_9x_0" localSheetId="49">'300 &amp; 317'!$T$187</definedName>
    <definedName name="OSRRefT22_9x_0" localSheetId="50">'301'!$T$58</definedName>
    <definedName name="OSRRefT22_9x_0" localSheetId="52">'307'!$T$74:$T$75</definedName>
    <definedName name="OSRRefT22_9x_0" localSheetId="53">'308'!$T$98:$T$99</definedName>
    <definedName name="OSRRefT22_9x_0" localSheetId="64">'309'!$T$58:$T$60</definedName>
    <definedName name="OSRRefT22_9x_0" localSheetId="63">'310'!$T$67</definedName>
    <definedName name="OSRRefT22_9x_0" localSheetId="71">'310 &amp; 491'!$T$73</definedName>
    <definedName name="OSRRefT22_9x_0" localSheetId="54">'311'!$T$97:$T$98</definedName>
    <definedName name="OSRRefT22_9x_0" localSheetId="65">'313'!$T$65:$T$66</definedName>
    <definedName name="OSRRefT22_9x_0" localSheetId="57">'315'!$T$117:$T$118</definedName>
    <definedName name="OSRRefT22_9x_0" localSheetId="60">'316'!$T$69:$T$73</definedName>
    <definedName name="OSRRefT22_9x_0" localSheetId="62">'317'!$T$89:$T$90</definedName>
    <definedName name="OSRRefT22_9x_0" localSheetId="66">'321'!$T$63:$T$64</definedName>
    <definedName name="OSRRefT22_9x_0" localSheetId="67">'322'!$T$59:$T$62</definedName>
    <definedName name="OSRRefT22_9x_0" localSheetId="68">'325'!$T$60</definedName>
    <definedName name="OSRRefT22_9x_0" localSheetId="58">'326'!$T$84</definedName>
    <definedName name="OSRRefT22_9x_0" localSheetId="51">'330'!$T$78:$T$79</definedName>
    <definedName name="OSRRefT22_9x_0" localSheetId="56">'331'!$T$118:$T$119</definedName>
    <definedName name="OSRRefT22_9x_0" localSheetId="59">'332'!$T$71:$T$75</definedName>
    <definedName name="OSRRefT22_9x_0" localSheetId="73">'405'!$T$59:$T$60</definedName>
    <definedName name="OSRRefT22_9x_0" localSheetId="75">'411'!$T$56:$T$59</definedName>
    <definedName name="OSRRefT22_9x_0" localSheetId="76">'412'!$T$58</definedName>
    <definedName name="OSRRefT22_9x_0" localSheetId="77">'413'!$T$61:$T$62</definedName>
    <definedName name="OSRRefT22_9x_0" localSheetId="78">'414'!$T$61</definedName>
    <definedName name="OSRRefT22_9x_0" localSheetId="79">'415'!$T$63</definedName>
    <definedName name="OSRRefT22_9x_0" localSheetId="80">'418'!$T$61:$T$62</definedName>
    <definedName name="OSRRefT22_9x_0" localSheetId="88">'433'!$T$63</definedName>
    <definedName name="OSRRefT22_9x_0" localSheetId="90">'444'!$T$63</definedName>
    <definedName name="OSRRefT22_9x_0" localSheetId="91">'450'!$T$59</definedName>
    <definedName name="OSRRefT22_9x_0" localSheetId="72">'491'!$T$66</definedName>
    <definedName name="OSRRefT22_9x_0" localSheetId="86">'492'!$T$63</definedName>
    <definedName name="OSRRefT22_9x_0" localSheetId="93">'501'!$T$58:$T$61</definedName>
    <definedName name="OSRRefT22_9x_0" localSheetId="39">'Div 2'!$T$60:$T$61</definedName>
    <definedName name="OSRRefT22_9x_0" localSheetId="47">'Div 3'!$T$168</definedName>
    <definedName name="OSRRefT22_9x_0" localSheetId="70">'Div 4'!$T$69</definedName>
    <definedName name="OSRRefT22_9x_0" localSheetId="92">'Div 5'!$T$58:$T$61</definedName>
    <definedName name="OSRRefT22_9x_0" localSheetId="61">'Div 6'!$T$89:$T$90</definedName>
    <definedName name="OSRRefT22_9x_0" localSheetId="2">Summary!$T$197</definedName>
    <definedName name="OSRRefT22x_0" localSheetId="40">'200'!$T$20,'200'!$T$22,'200'!$T$24,'200'!$T$26,'200'!$T$28:$T$29</definedName>
    <definedName name="OSRRefT22x_0" localSheetId="41">'201'!$T$21:$T$29,'201'!$T$31:$T$40,'201'!$T$42,'201'!$T$44,'201'!$T$46:$T$47,'201'!$T$49,'201'!$T$51,'201'!$T$53,'201'!$T$55,'201'!$T$57,'201'!$T$59:$T$61,'201'!$T$63:$T$64,'201'!$T$66,'201'!$T$68:$T$70,'201'!$T$72,'201'!$T$74,'201'!$T$76</definedName>
    <definedName name="OSRRefT22x_0" localSheetId="42">'202'!$T$21:$T$29,'202'!$T$31:$T$40,'202'!$T$42,'202'!$T$44,'202'!$T$46:$T$47,'202'!$T$49,'202'!$T$51,'202'!$T$53:$T$55,'202'!$T$57,'202'!$T$59:$T$61,'202'!$T$63,'202'!$T$65,'202'!$T$67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$124:$T$133,'300'!$T$135:$T$144,'300'!$T$146,'300'!$T$148:$T$149,'300'!$T$151,'300'!$T$153:$T$154,'300'!$T$156:$T$157,'300'!$T$159:$T$160,'300'!$T$162,'300'!$T$164,'300'!$T$166:$T$167,'300'!$T$169:$T$171,'300'!$T$173,'300'!$T$175:$T$176,'300'!$T$178,'300'!$T$180,'300'!$T$182:$T$185,'300'!$T$187:$T$190,'300'!$T$192:$T$195,'300'!$T$197:$T$198,'300'!$T$200:$T$208,'300'!$T$210:$T$211,'300'!$T$213,'300'!$T$215:$T$217,'300'!$T$219</definedName>
    <definedName name="OSRRefT22x_0" localSheetId="49">'300 &amp; 317'!$T$147:$T$156,'300 &amp; 317'!$T$158:$T$167,'300 &amp; 317'!$T$169,'300 &amp; 317'!$T$171:$T$172,'300 &amp; 317'!$T$174,'300 &amp; 317'!$T$176:$T$177,'300 &amp; 317'!$T$179:$T$180,'300 &amp; 317'!$T$182:$T$183,'300 &amp; 317'!$T$185,'300 &amp; 317'!$T$187,'300 &amp; 317'!$T$189:$T$190,'300 &amp; 317'!$T$192:$T$194,'300 &amp; 317'!$T$196,'300 &amp; 317'!$T$198:$T$199,'300 &amp; 317'!$T$201,'300 &amp; 317'!$T$203,'300 &amp; 317'!$T$205:$T$208,'300 &amp; 317'!$T$210:$T$213,'300 &amp; 317'!$T$215:$T$218,'300 &amp; 317'!$T$220:$T$221,'300 &amp; 317'!$T$223:$T$231,'300 &amp; 317'!$T$233:$T$234,'300 &amp; 317'!$T$236,'300 &amp; 317'!$T$238:$T$240,'300 &amp; 317'!$T$242</definedName>
    <definedName name="OSRRefT22x_0" localSheetId="50">'301'!$T$20:$T$29,'301'!$T$31:$T$40,'301'!$T$42,'301'!$T$44:$T$45,'301'!$T$47,'301'!$T$49:$T$50,'301'!$T$52,'301'!$T$54,'301'!$T$56,'301'!$T$58,'301'!$T$60,'301'!$T$62,'301'!$T$64,'301'!$T$66,'301'!$T$68:$T$71,'301'!$T$73:$T$75,'301'!$T$77,'301'!$T$79:$T$85,'301'!$T$87,'301'!$T$89,'301'!$T$91:$T$92,'301'!$T$94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'308'!$T$59:$T$68,'308'!$T$70:$T$79,'308'!$T$81,'308'!$T$83:$T$84,'308'!$T$86,'308'!$T$88,'308'!$T$90:$T$91,'308'!$T$93:$T$94,'308'!$T$96,'308'!$T$98:$T$99,'308'!$T$101:$T$102,'308'!$T$104:$T$106,'308'!$T$108:$T$109,'308'!$T$111,'308'!$T$113</definedName>
    <definedName name="OSRRefT22x_0" localSheetId="64">'309'!$T$22:$T$29,'309'!$T$31:$T$40,'309'!$T$42,'309'!$T$44,'309'!$T$46,'309'!$T$48,'309'!$T$50,'309'!$T$52:$T$53,'309'!$T$55:$T$56,'309'!$T$58:$T$60,'309'!$T$62</definedName>
    <definedName name="OSRRefT22x_0" localSheetId="63">'310'!$T$31:$T$39,'310'!$T$41:$T$50,'310'!$T$52,'310'!$T$54,'310'!$T$56,'310'!$T$58:$T$59,'310'!$T$61,'310'!$T$63,'310'!$T$65,'310'!$T$67,'310'!$T$69,'310'!$T$71,'310'!$T$73,'310'!$T$75:$T$78,'310'!$T$80:$T$81,'310'!$T$83:$T$86,'310'!$T$88,'310'!$T$90:$T$96,'310'!$T$98:$T$99,'310'!$T$101,'310'!$T$103,'310'!$T$105</definedName>
    <definedName name="OSRRefT22x_0" localSheetId="71">'310 &amp; 491'!$T$35:$T$43,'310 &amp; 491'!$T$45:$T$54,'310 &amp; 491'!$T$56,'310 &amp; 491'!$T$58,'310 &amp; 491'!$T$60,'310 &amp; 491'!$T$62:$T$64,'310 &amp; 491'!$T$66,'310 &amp; 491'!$T$68,'310 &amp; 491'!$T$70:$T$71,'310 &amp; 491'!$T$73,'310 &amp; 491'!$T$75,'310 &amp; 491'!$T$77,'310 &amp; 491'!$T$79,'310 &amp; 491'!$T$81:$T$84,'310 &amp; 491'!$T$86:$T$87,'310 &amp; 491'!$T$89:$T$93,'310 &amp; 491'!$T$95:$T$96,'310 &amp; 491'!$T$98:$T$108,'310 &amp; 491'!$T$110:$T$111,'310 &amp; 491'!$T$113,'310 &amp; 491'!$T$115:$T$117,'310 &amp; 491'!$T$119</definedName>
    <definedName name="OSRRefT22x_0" localSheetId="54">'311'!$T$58:$T$67,'311'!$T$69:$T$78,'311'!$T$80,'311'!$T$82:$T$83,'311'!$T$85,'311'!$T$87,'311'!$T$89:$T$90,'311'!$T$92:$T$93,'311'!$T$95,'311'!$T$97:$T$98,'311'!$T$100:$T$101,'311'!$T$103:$T$105,'311'!$T$107:$T$108,'311'!$T$110,'311'!$T$112</definedName>
    <definedName name="OSRRefT22x_0" localSheetId="65">'313'!$T$27:$T$35,'313'!$T$37:$T$46,'313'!$T$48,'313'!$T$50,'313'!$T$52,'313'!$T$54,'313'!$T$56:$T$57,'313'!$T$59,'313'!$T$61:$T$63,'313'!$T$65:$T$66,'313'!$T$68,'313'!$T$70</definedName>
    <definedName name="OSRRefT22x_0" localSheetId="57">'315'!$T$81:$T$89,'315'!$T$91:$T$100,'315'!$T$102,'315'!$T$104,'315'!$T$106,'315'!$T$108,'315'!$T$110,'315'!$T$112:$T$113,'315'!$T$115,'315'!$T$117:$T$118,'315'!$T$120,'315'!$T$122,'315'!$T$124:$T$126,'315'!$T$128:$T$129,'315'!$T$131:$T$137,'315'!$T$139,'315'!$T$141,'315'!$T$143:$T$144</definedName>
    <definedName name="OSRRefT22x_0" localSheetId="60">'316'!$T$32:$T$40,'316'!$T$42:$T$51,'316'!$T$53,'316'!$T$55,'316'!$T$57,'316'!$T$59,'316'!$T$61:$T$62,'316'!$T$64:$T$65,'316'!$T$67,'316'!$T$69:$T$73,'316'!$T$75,'316'!$T$77</definedName>
    <definedName name="OSRRefT22x_0" localSheetId="62">'317'!$T$52:$T$61,'317'!$T$63:$T$72,'317'!$T$74,'317'!$T$76,'317'!$T$78,'317'!$T$80,'317'!$T$82:$T$83,'317'!$T$85,'317'!$T$87,'317'!$T$89:$T$90,'317'!$T$92:$T$95,'317'!$T$97,'317'!$T$99</definedName>
    <definedName name="OSRRefT22x_0" localSheetId="66">'321'!$T$26:$T$34,'321'!$T$36:$T$45,'321'!$T$47,'321'!$T$49,'321'!$T$51,'321'!$T$53,'321'!$T$55,'321'!$T$57:$T$58,'321'!$T$60:$T$61,'321'!$T$63:$T$64,'321'!$T$66:$T$68,'321'!$T$70:$T$71,'321'!$T$73,'321'!$T$75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8">'326'!$T$48:$T$56,'326'!$T$58:$T$67,'326'!$T$69,'326'!$T$71,'326'!$T$73,'326'!$T$75,'326'!$T$77,'326'!$T$79,'326'!$T$81:$T$82,'326'!$T$84,'326'!$T$86,'326'!$T$88,'326'!$T$90,'326'!$T$92:$T$94,'326'!$T$96:$T$98,'326'!$T$100:$T$101,'326'!$T$103:$T$108,'326'!$T$110:$T$111,'326'!$T$113,'326'!$T$115:$T$116,'326'!$T$118</definedName>
    <definedName name="OSRRefT22x_0" localSheetId="69">'327'!$T$24</definedName>
    <definedName name="OSRRefT22x_0" localSheetId="51">'330'!$T$42:$T$50,'330'!$T$52:$T$61,'330'!$T$63,'330'!$T$65,'330'!$T$67,'330'!$T$69:$T$70,'330'!$T$72,'330'!$T$74,'330'!$T$76,'330'!$T$78:$T$79,'330'!$T$81:$T$82,'330'!$T$84:$T$87,'330'!$T$89:$T$90,'330'!$T$92</definedName>
    <definedName name="OSRRefT22x_0" localSheetId="56">'331'!$T$82:$T$90,'331'!$T$92:$T$101,'331'!$T$103,'331'!$T$105,'331'!$T$107,'331'!$T$109,'331'!$T$111,'331'!$T$113,'331'!$T$115:$T$116,'331'!$T$118:$T$119,'331'!$T$121,'331'!$T$123:$T$124,'331'!$T$126,'331'!$T$128,'331'!$T$130:$T$132,'331'!$T$134:$T$136,'331'!$T$138:$T$140,'331'!$T$142:$T$143,'331'!$T$145:$T$152,'331'!$T$154:$T$155,'331'!$T$157,'331'!$T$159:$T$160,'331'!$T$162</definedName>
    <definedName name="OSRRefT22x_0" localSheetId="59">'332'!$T$34:$T$42,'332'!$T$44:$T$53,'332'!$T$55,'332'!$T$57,'332'!$T$59,'332'!$T$61,'332'!$T$63:$T$64,'332'!$T$66:$T$67,'332'!$T$69,'332'!$T$71:$T$75,'332'!$T$77,'332'!$T$79</definedName>
    <definedName name="OSRRefT22x_0" localSheetId="73">'405'!$T$24:$T$31,'405'!$T$33:$T$42,'405'!$T$44,'405'!$T$46,'405'!$T$48:$T$49,'405'!$T$51,'405'!$T$53,'405'!$T$55,'405'!$T$57,'405'!$T$59:$T$60,'405'!$T$62,'405'!$T$64:$T$67,'405'!$T$69,'405'!$T$71:$T$79,'405'!$T$81,'405'!$T$83,'405'!$T$85,'405'!$T$87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'411'!$T$20:$T$28,'411'!$T$30:$T$39,'411'!$T$41,'411'!$T$43,'411'!$T$45:$T$46,'411'!$T$48,'411'!$T$50,'411'!$T$52,'411'!$T$54,'411'!$T$56:$T$59,'411'!$T$61:$T$64,'411'!$T$66:$T$67,'411'!$T$69:$T$75,'411'!$T$77,'411'!$T$79,'411'!$T$81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7">'413'!$T$23:$T$31,'413'!$T$33:$T$42,'413'!$T$44,'413'!$T$46,'413'!$T$48,'413'!$T$50,'413'!$T$52,'413'!$T$54,'413'!$T$56:$T$59,'413'!$T$61:$T$62,'413'!$T$64:$T$71,'413'!$T$73:$T$74,'413'!$T$76</definedName>
    <definedName name="OSRRefT22x_0" localSheetId="78">'414'!$T$25:$T$33,'414'!$T$35:$T$44,'414'!$T$46,'414'!$T$48,'414'!$T$50,'414'!$T$52,'414'!$T$54,'414'!$T$56,'414'!$T$58:$T$59,'414'!$T$61,'414'!$T$63,'414'!$T$65,'414'!$T$67:$T$69,'414'!$T$71,'414'!$T$73,'414'!$T$75</definedName>
    <definedName name="OSRRefT22x_0" localSheetId="79">'415'!$T$27:$T$35,'415'!$T$37:$T$46,'415'!$T$48,'415'!$T$50,'415'!$T$52,'415'!$T$54:$T$55,'415'!$T$57,'415'!$T$59,'415'!$T$61,'415'!$T$63,'415'!$T$65,'415'!$T$67:$T$68,'415'!$T$70:$T$74,'415'!$T$76,'415'!$T$78:$T$85,'415'!$T$87:$T$88,'415'!$T$90,'415'!$T$92:$T$93,'415'!$T$95</definedName>
    <definedName name="OSRRefT22x_0" localSheetId="80">'418'!$T$24:$T$31,'418'!$T$33:$T$42,'418'!$T$44,'418'!$T$46,'418'!$T$48:$T$49,'418'!$T$51,'418'!$T$53,'418'!$T$55,'418'!$T$57:$T$59,'418'!$T$61:$T$62,'418'!$T$64:$T$65,'418'!$T$67:$T$76,'418'!$T$78:$T$79,'418'!$T$81</definedName>
    <definedName name="OSRRefT22x_0" localSheetId="81">'420'!$T$21,'420'!$T$23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'425'!$T$21:$T$25,'425'!$T$27,'425'!$T$29,'425'!$T$31,'425'!$T$33:$T$34,'425'!$T$36</definedName>
    <definedName name="OSRRefT22x_0" localSheetId="87">'430'!$T$20:$T$28,'430'!$T$30:$T$39,'430'!$T$41,'430'!$T$43,'430'!$T$45:$T$47,'430'!$T$49:$T$50,'430'!$T$52,'430'!$T$54</definedName>
    <definedName name="OSRRefT22x_0" localSheetId="88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'444'!$T$27:$T$36,'444'!$T$38:$T$47,'444'!$T$49,'444'!$T$51,'444'!$T$53,'444'!$T$55,'444'!$T$57,'444'!$T$59,'444'!$T$61,'444'!$T$63,'444'!$T$65,'444'!$T$67:$T$70,'444'!$T$72:$T$75,'444'!$T$77,'444'!$T$79:$T$87,'444'!$T$89:$T$90,'444'!$T$92</definedName>
    <definedName name="OSRRefT22x_0" localSheetId="91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$29:$T$37,'491'!$T$39:$T$48,'491'!$T$50,'491'!$T$52,'491'!$T$54,'491'!$T$56:$T$58,'491'!$T$60,'491'!$T$62,'491'!$T$64,'491'!$T$66,'491'!$T$68,'491'!$T$70,'491'!$T$72,'491'!$T$74:$T$77,'491'!$T$79:$T$80,'491'!$T$82:$T$86,'491'!$T$88:$T$89,'491'!$T$91:$T$101,'491'!$T$103:$T$104,'491'!$T$106,'491'!$T$108:$T$110,'491'!$T$112</definedName>
    <definedName name="OSRRefT22x_0" localSheetId="86">'492'!$T$27:$T$36,'492'!$T$38:$T$47,'492'!$T$49,'492'!$T$51,'492'!$T$53,'492'!$T$55,'492'!$T$57,'492'!$T$59,'492'!$T$61,'492'!$T$63,'492'!$T$65,'492'!$T$67,'492'!$T$69:$T$72,'492'!$T$74:$T$77,'492'!$T$79,'492'!$T$81:$T$90,'492'!$T$92:$T$93,'492'!$T$95,'492'!$T$97</definedName>
    <definedName name="OSRRefT22x_0" localSheetId="93">'501'!$T$21:$T$30,'501'!$T$32:$T$41,'501'!$T$43,'501'!$T$45,'501'!$T$47,'501'!$T$49:$T$50,'501'!$T$52,'501'!$T$54,'501'!$T$56,'501'!$T$58:$T$61,'501'!$T$63:$T$64,'501'!$T$66,'501'!$T$68</definedName>
    <definedName name="OSRRefT22x_0" localSheetId="39">'Div 2'!$T$21:$T$31,'Div 2'!$T$33:$T$42,'Div 2'!$T$44,'Div 2'!$T$46,'Div 2'!$T$48,'Div 2'!$T$50:$T$51,'Div 2'!$T$53:$T$54,'Div 2'!$T$56,'Div 2'!$T$58,'Div 2'!$T$60:$T$61,'Div 2'!$T$63,'Div 2'!$T$65:$T$66,'Div 2'!$T$68:$T$71,'Div 2'!$T$73:$T$76,'Div 2'!$T$78:$T$79,'Div 2'!$T$81:$T$82,'Div 2'!$T$84:$T$88,'Div 2'!$T$90:$T$91,'Div 2'!$T$93,'Div 2'!$T$95:$T$96</definedName>
    <definedName name="OSRRefT22x_0" localSheetId="47">'Div 3'!$T$128:$T$137,'Div 3'!$T$139:$T$148,'Div 3'!$T$150,'Div 3'!$T$152:$T$153,'Div 3'!$T$155,'Div 3'!$T$157:$T$158,'Div 3'!$T$160:$T$161,'Div 3'!$T$163:$T$164,'Div 3'!$T$166,'Div 3'!$T$168,'Div 3'!$T$170:$T$171,'Div 3'!$T$173:$T$175,'Div 3'!$T$177,'Div 3'!$T$179,'Div 3'!$T$181:$T$182,'Div 3'!$T$184,'Div 3'!$T$186,'Div 3'!$T$188:$T$191,'Div 3'!$T$193:$T$196,'Div 3'!$T$198:$T$202,'Div 3'!$T$204:$T$205,'Div 3'!$T$207:$T$215,'Div 3'!$T$217:$T$218,'Div 3'!$T$220,'Div 3'!$T$222:$T$224,'Div 3'!$T$226</definedName>
    <definedName name="OSRRefT22x_0" localSheetId="70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4'!$T$95:$T$96,'Div 4'!$T$98:$T$108,'Div 4'!$T$110:$T$111,'Div 4'!$T$113,'Div 4'!$T$115:$T$117,'Div 4'!$T$119</definedName>
    <definedName name="OSRRefT22x_0" localSheetId="92">'Div 5'!$T$21:$T$30,'Div 5'!$T$32:$T$41,'Div 5'!$T$43,'Div 5'!$T$45,'Div 5'!$T$47,'Div 5'!$T$49:$T$50,'Div 5'!$T$52,'Div 5'!$T$54,'Div 5'!$T$56,'Div 5'!$T$58:$T$61,'Div 5'!$T$63:$T$64,'Div 5'!$T$66,'Div 5'!$T$68</definedName>
    <definedName name="OSRRefT22x_0" localSheetId="61">'Div 6'!$T$52:$T$61,'Div 6'!$T$63:$T$72,'Div 6'!$T$74,'Div 6'!$T$76,'Div 6'!$T$78,'Div 6'!$T$80,'Div 6'!$T$82:$T$83,'Div 6'!$T$85,'Div 6'!$T$87,'Div 6'!$T$89:$T$90,'Div 6'!$T$92:$T$95,'Div 6'!$T$97,'Div 6'!$T$99</definedName>
    <definedName name="OSRRefT22x_0" localSheetId="2">Summary!$T$156:$T$165,Summary!$T$167:$T$176,Summary!$T$178,Summary!$T$180:$T$181,Summary!$T$183,Summary!$T$185:$T$187,Summary!$T$189:$T$190,Summary!$T$192:$T$193,Summary!$T$195,Summary!$T$197,Summary!$T$199:$T$200,Summary!$T$202:$T$204,Summary!$T$206,Summary!$T$208,Summary!$T$210:$T$211,Summary!$T$213,Summary!$T$215,Summary!$T$217,Summary!$T$219:$T$222,Summary!$T$224:$T$227,Summary!$T$229:$T$233,Summary!$T$235:$T$236,Summary!$T$238:$T$248,Summary!$T$250:$T$251,Summary!$T$253,Summary!$T$255:$T$257,Summary!$T$259</definedName>
    <definedName name="OSRRefT25x_0" localSheetId="42">'202'!$T$70:$T$72</definedName>
    <definedName name="OSRRefT25x_0" localSheetId="48">'300'!$T$222:$T$225</definedName>
    <definedName name="OSRRefT25x_0" localSheetId="49">'300 &amp; 317'!$T$245:$T$249</definedName>
    <definedName name="OSRRefT25x_0" localSheetId="50">'301'!$T$97:$T$98</definedName>
    <definedName name="OSRRefT25x_0" localSheetId="53">'308'!$T$116:$T$118</definedName>
    <definedName name="OSRRefT25x_0" localSheetId="71">'310 &amp; 491'!$T$122:$T$125</definedName>
    <definedName name="OSRRefT25x_0" localSheetId="54">'311'!$T$115:$T$117</definedName>
    <definedName name="OSRRefT25x_0" localSheetId="57">'315'!$T$147:$T$149</definedName>
    <definedName name="OSRRefT25x_0" localSheetId="60">'316'!$T$80</definedName>
    <definedName name="OSRRefT25x_0" localSheetId="62">'317'!$T$102:$T$103</definedName>
    <definedName name="OSRRefT25x_0" localSheetId="56">'331'!$T$165:$T$167</definedName>
    <definedName name="OSRRefT25x_0" localSheetId="59">'332'!$T$82:$T$83</definedName>
    <definedName name="OSRRefT25x_0" localSheetId="75">'411'!$T$84:$T$85</definedName>
    <definedName name="OSRRefT25x_0" localSheetId="80">'418'!$T$84</definedName>
    <definedName name="OSRRefT25x_0" localSheetId="82">'423'!$T$52:$T$54</definedName>
    <definedName name="OSRRefT25x_0" localSheetId="85">'455'!$T$21:$T$22</definedName>
    <definedName name="OSRRefT25x_0" localSheetId="72">'491'!$T$115:$T$118</definedName>
    <definedName name="OSRRefT25x_0" localSheetId="93">'501'!$T$71</definedName>
    <definedName name="OSRRefT25x_0" localSheetId="39">'Div 2'!$T$99:$T$101</definedName>
    <definedName name="OSRRefT25x_0" localSheetId="47">'Div 3'!$T$229:$T$232</definedName>
    <definedName name="OSRRefT25x_0" localSheetId="70">'Div 4'!$T$122:$T$125</definedName>
    <definedName name="OSRRefT25x_0" localSheetId="92">'Div 5'!$T$71</definedName>
    <definedName name="OSRRefT25x_0" localSheetId="61">'Div 6'!$T$102:$T$103</definedName>
    <definedName name="OSRRefT25x_0" localSheetId="2">Summary!$T$262:$T$268</definedName>
    <definedName name="_xlnm.Print_Area" localSheetId="38">'100'!$A$1:$Z$34</definedName>
    <definedName name="_xlnm.Print_Area" localSheetId="40">'200'!$A$1:$Z$43</definedName>
    <definedName name="_xlnm.Print_Area" localSheetId="41">'201'!$A$1:$Z$90</definedName>
    <definedName name="_xlnm.Print_Area" localSheetId="42">'202'!$A$1:$Z$84</definedName>
    <definedName name="_xlnm.Print_Area" localSheetId="43">'203'!$A$1:$Z$86</definedName>
    <definedName name="_xlnm.Print_Area" localSheetId="44">'204'!$A$1:$Z$81</definedName>
    <definedName name="_xlnm.Print_Area" localSheetId="45">'205'!$A$1:$Z$68</definedName>
    <definedName name="_xlnm.Print_Area" localSheetId="46">'206'!$A$1:$Z$70</definedName>
    <definedName name="_xlnm.Print_Area" localSheetId="48">'300'!$A$1:$Z$237</definedName>
    <definedName name="_xlnm.Print_Area" localSheetId="49">'300 &amp; 317'!$A$1:$Z$261</definedName>
    <definedName name="_xlnm.Print_Area" localSheetId="50">'301'!$A$1:$Z$110</definedName>
    <definedName name="_xlnm.Print_Area" localSheetId="52">'307'!$A$1:$Z$102</definedName>
    <definedName name="_xlnm.Print_Area" localSheetId="53">'308'!$A$1:$Z$130</definedName>
    <definedName name="_xlnm.Print_Area" localSheetId="64">'309'!$A$1:$Z$76</definedName>
    <definedName name="_xlnm.Print_Area" localSheetId="63">'310'!$A$1:$Z$119</definedName>
    <definedName name="_xlnm.Print_Area" localSheetId="71">'310 &amp; 491'!$A$1:$Z$137</definedName>
    <definedName name="_xlnm.Print_Area" localSheetId="54">'311'!$A$1:$Z$129</definedName>
    <definedName name="_xlnm.Print_Area" localSheetId="65">'313'!$A$1:$Z$84</definedName>
    <definedName name="_xlnm.Print_Area" localSheetId="57">'315'!$A$1:$Z$161</definedName>
    <definedName name="_xlnm.Print_Area" localSheetId="60">'316'!$A$1:$Z$92</definedName>
    <definedName name="_xlnm.Print_Area" localSheetId="62">'317'!$A$1:$Z$115</definedName>
    <definedName name="_xlnm.Print_Area" localSheetId="66">'321'!$A$1:$Z$89</definedName>
    <definedName name="_xlnm.Print_Area" localSheetId="67">'322'!$A$1:$Z$80</definedName>
    <definedName name="_xlnm.Print_Area" localSheetId="55">'324'!$A$1:$Z$59</definedName>
    <definedName name="_xlnm.Print_Area" localSheetId="68">'325'!$A$1:$Z$100</definedName>
    <definedName name="_xlnm.Print_Area" localSheetId="58">'326'!$A$1:$Z$132</definedName>
    <definedName name="_xlnm.Print_Area" localSheetId="69">'327'!$A$1:$Z$38</definedName>
    <definedName name="_xlnm.Print_Area" localSheetId="51">'330'!$A$1:$Z$106</definedName>
    <definedName name="_xlnm.Print_Area" localSheetId="56">'331'!$A$1:$Z$179</definedName>
    <definedName name="_xlnm.Print_Area" localSheetId="59">'332'!$A$1:$Z$95</definedName>
    <definedName name="_xlnm.Print_Area" localSheetId="73">'405'!$A$1:$Z$101</definedName>
    <definedName name="_xlnm.Print_Area" localSheetId="74">'406'!$A$1:$Z$42</definedName>
    <definedName name="_xlnm.Print_Area" localSheetId="75">'411'!$A$1:$Z$97</definedName>
    <definedName name="_xlnm.Print_Area" localSheetId="76">'412'!$A$1:$Z$88</definedName>
    <definedName name="_xlnm.Print_Area" localSheetId="77">'413'!$A$1:$Z$90</definedName>
    <definedName name="_xlnm.Print_Area" localSheetId="78">'414'!$A$1:$Z$89</definedName>
    <definedName name="_xlnm.Print_Area" localSheetId="79">'415'!$A$1:$Z$109</definedName>
    <definedName name="_xlnm.Print_Area" localSheetId="80">'418'!$A$1:$Z$96</definedName>
    <definedName name="_xlnm.Print_Area" localSheetId="81">'420'!$A$1:$Z$37</definedName>
    <definedName name="_xlnm.Print_Area" localSheetId="82">'423'!$A$1:$Z$66</definedName>
    <definedName name="_xlnm.Print_Area" localSheetId="83">'424'!$A$1:$Z$40</definedName>
    <definedName name="_xlnm.Print_Area" localSheetId="84">'425'!$A$1:$Z$50</definedName>
    <definedName name="_xlnm.Print_Area" localSheetId="87">'430'!$A$1:$Z$68</definedName>
    <definedName name="_xlnm.Print_Area" localSheetId="88">'433'!$A$1:$Z$101</definedName>
    <definedName name="_xlnm.Print_Area" localSheetId="89">'435'!$A$1:$Z$34</definedName>
    <definedName name="_xlnm.Print_Area" localSheetId="90">'444'!$A$1:$Z$106</definedName>
    <definedName name="_xlnm.Print_Area" localSheetId="91">'450'!$A$1:$Z$96</definedName>
    <definedName name="_xlnm.Print_Area" localSheetId="85">'455'!$A$1:$Z$34</definedName>
    <definedName name="_xlnm.Print_Area" localSheetId="72">'491'!$A$1:$Z$130</definedName>
    <definedName name="_xlnm.Print_Area" localSheetId="86">'492'!$A$1:$Z$111</definedName>
    <definedName name="_xlnm.Print_Area" localSheetId="93">'501'!$A$1:$Z$83</definedName>
    <definedName name="_xlnm.Print_Area" localSheetId="94">Dept!$A$1:$Z$39</definedName>
    <definedName name="_xlnm.Print_Area" localSheetId="37">'Div 1'!$A$1:$Z$34</definedName>
    <definedName name="_xlnm.Print_Area" localSheetId="39">'Div 2'!$A$1:$Z$113</definedName>
    <definedName name="_xlnm.Print_Area" localSheetId="47">'Div 3'!$A$1:$Z$244</definedName>
    <definedName name="_xlnm.Print_Area" localSheetId="70">'Div 4'!$A$1:$Z$137</definedName>
    <definedName name="_xlnm.Print_Area" localSheetId="92">'Div 5'!$A$1:$Z$83</definedName>
    <definedName name="_xlnm.Print_Area" localSheetId="61">'Div 6'!$A$1:$Z$115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Summary!$A$1:$Z$282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5" i="97" l="1"/>
  <c r="Z75" i="97" s="1"/>
  <c r="R75" i="97"/>
  <c r="L75" i="97"/>
  <c r="N75" i="97" s="1"/>
  <c r="P71" i="97"/>
  <c r="X71" i="97" s="1"/>
  <c r="Z71" i="97" s="1"/>
  <c r="J71" i="97"/>
  <c r="D71" i="97"/>
  <c r="B71" i="97"/>
  <c r="T70" i="97"/>
  <c r="P70" i="97"/>
  <c r="X70" i="97" s="1"/>
  <c r="Z70" i="97" s="1"/>
  <c r="J70" i="97"/>
  <c r="H70" i="97"/>
  <c r="Z68" i="97"/>
  <c r="X68" i="97"/>
  <c r="L68" i="97"/>
  <c r="N68" i="97" s="1"/>
  <c r="J68" i="97"/>
  <c r="B68" i="97"/>
  <c r="X67" i="97"/>
  <c r="Z67" i="97" s="1"/>
  <c r="T67" i="97"/>
  <c r="P67" i="97"/>
  <c r="J67" i="97"/>
  <c r="H67" i="97"/>
  <c r="D67" i="97"/>
  <c r="B67" i="97"/>
  <c r="Z66" i="97"/>
  <c r="X66" i="97"/>
  <c r="N66" i="97"/>
  <c r="L66" i="97"/>
  <c r="B66" i="97"/>
  <c r="T65" i="97"/>
  <c r="P65" i="97"/>
  <c r="H65" i="97"/>
  <c r="N65" i="97" s="1"/>
  <c r="D65" i="97"/>
  <c r="L65" i="97" s="1"/>
  <c r="B65" i="97"/>
  <c r="Z64" i="97"/>
  <c r="X64" i="97"/>
  <c r="N64" i="97"/>
  <c r="L64" i="97"/>
  <c r="B64" i="97"/>
  <c r="Z63" i="97"/>
  <c r="X63" i="97"/>
  <c r="R63" i="97"/>
  <c r="L63" i="97"/>
  <c r="N63" i="97" s="1"/>
  <c r="B63" i="97"/>
  <c r="T62" i="97"/>
  <c r="R62" i="97"/>
  <c r="P62" i="97"/>
  <c r="X62" i="97" s="1"/>
  <c r="N62" i="97"/>
  <c r="L62" i="97"/>
  <c r="J62" i="97"/>
  <c r="H62" i="97"/>
  <c r="D62" i="97"/>
  <c r="B62" i="97"/>
  <c r="Z61" i="97"/>
  <c r="X61" i="97"/>
  <c r="R61" i="97"/>
  <c r="N61" i="97"/>
  <c r="L61" i="97"/>
  <c r="B61" i="97"/>
  <c r="Z60" i="97"/>
  <c r="X60" i="97"/>
  <c r="N60" i="97"/>
  <c r="L60" i="97"/>
  <c r="J60" i="97"/>
  <c r="B60" i="97"/>
  <c r="X59" i="97"/>
  <c r="Z59" i="97" s="1"/>
  <c r="L59" i="97"/>
  <c r="N59" i="97" s="1"/>
  <c r="B59" i="97"/>
  <c r="Z58" i="97"/>
  <c r="X58" i="97"/>
  <c r="V58" i="97"/>
  <c r="N58" i="97"/>
  <c r="L58" i="97"/>
  <c r="B58" i="97"/>
  <c r="V57" i="97"/>
  <c r="T57" i="97"/>
  <c r="P57" i="97"/>
  <c r="X57" i="97" s="1"/>
  <c r="L57" i="97"/>
  <c r="N57" i="97" s="1"/>
  <c r="H57" i="97"/>
  <c r="D57" i="97"/>
  <c r="B57" i="97"/>
  <c r="X56" i="97"/>
  <c r="Z56" i="97" s="1"/>
  <c r="V56" i="97"/>
  <c r="N56" i="97"/>
  <c r="L56" i="97"/>
  <c r="J56" i="97"/>
  <c r="B56" i="97"/>
  <c r="T55" i="97"/>
  <c r="Z55" i="97" s="1"/>
  <c r="R55" i="97"/>
  <c r="P55" i="97"/>
  <c r="X55" i="97" s="1"/>
  <c r="H55" i="97"/>
  <c r="D55" i="97"/>
  <c r="B55" i="97"/>
  <c r="Z54" i="97"/>
  <c r="X54" i="97"/>
  <c r="R54" i="97"/>
  <c r="N54" i="97"/>
  <c r="L54" i="97"/>
  <c r="J54" i="97"/>
  <c r="B54" i="97"/>
  <c r="T53" i="97"/>
  <c r="P53" i="97"/>
  <c r="X53" i="97" s="1"/>
  <c r="L53" i="97"/>
  <c r="H53" i="97"/>
  <c r="D53" i="97"/>
  <c r="B53" i="97"/>
  <c r="Z52" i="97"/>
  <c r="X52" i="97"/>
  <c r="L52" i="97"/>
  <c r="N52" i="97" s="1"/>
  <c r="J52" i="97"/>
  <c r="B52" i="97"/>
  <c r="X51" i="97"/>
  <c r="T51" i="97"/>
  <c r="Z51" i="97" s="1"/>
  <c r="P51" i="97"/>
  <c r="J51" i="97"/>
  <c r="H51" i="97"/>
  <c r="D51" i="97"/>
  <c r="L51" i="97" s="1"/>
  <c r="B51" i="97"/>
  <c r="Z50" i="97"/>
  <c r="X50" i="97"/>
  <c r="N50" i="97"/>
  <c r="L50" i="97"/>
  <c r="B50" i="97"/>
  <c r="Z49" i="97"/>
  <c r="X49" i="97"/>
  <c r="R49" i="97"/>
  <c r="N49" i="97"/>
  <c r="L49" i="97"/>
  <c r="B49" i="97"/>
  <c r="X48" i="97"/>
  <c r="V48" i="97"/>
  <c r="T48" i="97"/>
  <c r="R48" i="97"/>
  <c r="P48" i="97"/>
  <c r="N48" i="97"/>
  <c r="H48" i="97"/>
  <c r="D48" i="97"/>
  <c r="L48" i="97" s="1"/>
  <c r="B48" i="97"/>
  <c r="X47" i="97"/>
  <c r="Z47" i="97" s="1"/>
  <c r="R47" i="97"/>
  <c r="L47" i="97"/>
  <c r="N47" i="97" s="1"/>
  <c r="B47" i="97"/>
  <c r="T46" i="97"/>
  <c r="R46" i="97"/>
  <c r="P46" i="97"/>
  <c r="N46" i="97"/>
  <c r="L46" i="97"/>
  <c r="J46" i="97"/>
  <c r="H46" i="97"/>
  <c r="D46" i="97"/>
  <c r="B46" i="97"/>
  <c r="X45" i="97"/>
  <c r="Z45" i="97" s="1"/>
  <c r="V45" i="97"/>
  <c r="R45" i="97"/>
  <c r="L45" i="97"/>
  <c r="N45" i="97" s="1"/>
  <c r="B45" i="97"/>
  <c r="T44" i="97"/>
  <c r="Z44" i="97" s="1"/>
  <c r="P44" i="97"/>
  <c r="X44" i="97" s="1"/>
  <c r="N44" i="97"/>
  <c r="L44" i="97"/>
  <c r="J44" i="97"/>
  <c r="H44" i="97"/>
  <c r="D44" i="97"/>
  <c r="B44" i="97"/>
  <c r="X43" i="97"/>
  <c r="Z43" i="97" s="1"/>
  <c r="L43" i="97"/>
  <c r="N43" i="97" s="1"/>
  <c r="B43" i="97"/>
  <c r="T42" i="97"/>
  <c r="P42" i="97"/>
  <c r="X42" i="97" s="1"/>
  <c r="Z42" i="97" s="1"/>
  <c r="L42" i="97"/>
  <c r="J42" i="97"/>
  <c r="H42" i="97"/>
  <c r="N42" i="97" s="1"/>
  <c r="D42" i="97"/>
  <c r="B42" i="97"/>
  <c r="Z41" i="97"/>
  <c r="X41" i="97"/>
  <c r="N41" i="97"/>
  <c r="L41" i="97"/>
  <c r="J41" i="97"/>
  <c r="B41" i="97"/>
  <c r="Z40" i="97"/>
  <c r="X40" i="97"/>
  <c r="V40" i="97"/>
  <c r="N40" i="97"/>
  <c r="L40" i="97"/>
  <c r="B40" i="97"/>
  <c r="Z39" i="97"/>
  <c r="X39" i="97"/>
  <c r="R39" i="97"/>
  <c r="L39" i="97"/>
  <c r="N39" i="97" s="1"/>
  <c r="B39" i="97"/>
  <c r="X38" i="97"/>
  <c r="Z38" i="97" s="1"/>
  <c r="R38" i="97"/>
  <c r="N38" i="97"/>
  <c r="L38" i="97"/>
  <c r="J38" i="97"/>
  <c r="B38" i="97"/>
  <c r="Z37" i="97"/>
  <c r="X37" i="97"/>
  <c r="N37" i="97"/>
  <c r="L37" i="97"/>
  <c r="J37" i="97"/>
  <c r="B37" i="97"/>
  <c r="Z36" i="97"/>
  <c r="X36" i="97"/>
  <c r="V36" i="97"/>
  <c r="N36" i="97"/>
  <c r="L36" i="97"/>
  <c r="B36" i="97"/>
  <c r="Z35" i="97"/>
  <c r="X35" i="97"/>
  <c r="R35" i="97"/>
  <c r="L35" i="97"/>
  <c r="N35" i="97" s="1"/>
  <c r="B35" i="97"/>
  <c r="Z34" i="97"/>
  <c r="X34" i="97"/>
  <c r="R34" i="97"/>
  <c r="N34" i="97"/>
  <c r="L34" i="97"/>
  <c r="J34" i="97"/>
  <c r="B34" i="97"/>
  <c r="X33" i="97"/>
  <c r="Z33" i="97" s="1"/>
  <c r="L33" i="97"/>
  <c r="N33" i="97" s="1"/>
  <c r="J33" i="97"/>
  <c r="B33" i="97"/>
  <c r="Z32" i="97"/>
  <c r="X32" i="97"/>
  <c r="V32" i="97"/>
  <c r="N32" i="97"/>
  <c r="L32" i="97"/>
  <c r="B32" i="97"/>
  <c r="T31" i="97"/>
  <c r="P31" i="97"/>
  <c r="X31" i="97" s="1"/>
  <c r="H31" i="97"/>
  <c r="N31" i="97" s="1"/>
  <c r="D31" i="97"/>
  <c r="L31" i="97" s="1"/>
  <c r="B31" i="97"/>
  <c r="X30" i="97"/>
  <c r="Z30" i="97" s="1"/>
  <c r="N30" i="97"/>
  <c r="L30" i="97"/>
  <c r="B30" i="97"/>
  <c r="X29" i="97"/>
  <c r="Z29" i="97" s="1"/>
  <c r="V29" i="97"/>
  <c r="R29" i="97"/>
  <c r="N29" i="97"/>
  <c r="L29" i="97"/>
  <c r="B29" i="97"/>
  <c r="Z28" i="97"/>
  <c r="X28" i="97"/>
  <c r="L28" i="97"/>
  <c r="N28" i="97" s="1"/>
  <c r="J28" i="97"/>
  <c r="B28" i="97"/>
  <c r="Z27" i="97"/>
  <c r="X27" i="97"/>
  <c r="N27" i="97"/>
  <c r="L27" i="97"/>
  <c r="B27" i="97"/>
  <c r="Z26" i="97"/>
  <c r="X26" i="97"/>
  <c r="V26" i="97"/>
  <c r="N26" i="97"/>
  <c r="L26" i="97"/>
  <c r="B26" i="97"/>
  <c r="X25" i="97"/>
  <c r="Z25" i="97" s="1"/>
  <c r="R25" i="97"/>
  <c r="L25" i="97"/>
  <c r="N25" i="97" s="1"/>
  <c r="B25" i="97"/>
  <c r="Z24" i="97"/>
  <c r="X24" i="97"/>
  <c r="N24" i="97"/>
  <c r="L24" i="97"/>
  <c r="J24" i="97"/>
  <c r="B24" i="97"/>
  <c r="X23" i="97"/>
  <c r="Z23" i="97" s="1"/>
  <c r="L23" i="97"/>
  <c r="N23" i="97" s="1"/>
  <c r="B23" i="97"/>
  <c r="Z22" i="97"/>
  <c r="X22" i="97"/>
  <c r="V22" i="97"/>
  <c r="N22" i="97"/>
  <c r="L22" i="97"/>
  <c r="B22" i="97"/>
  <c r="X21" i="97"/>
  <c r="Z21" i="97" s="1"/>
  <c r="V21" i="97"/>
  <c r="R21" i="97"/>
  <c r="L21" i="97"/>
  <c r="N21" i="97" s="1"/>
  <c r="B21" i="97"/>
  <c r="T20" i="97"/>
  <c r="R20" i="97"/>
  <c r="P20" i="97"/>
  <c r="X20" i="97" s="1"/>
  <c r="Z20" i="97" s="1"/>
  <c r="L20" i="97"/>
  <c r="N20" i="97" s="1"/>
  <c r="J20" i="97"/>
  <c r="H20" i="97"/>
  <c r="D20" i="97"/>
  <c r="B20" i="97"/>
  <c r="T19" i="97"/>
  <c r="R19" i="97"/>
  <c r="P19" i="97"/>
  <c r="H19" i="97"/>
  <c r="L19" i="97" s="1"/>
  <c r="N19" i="97" s="1"/>
  <c r="D19" i="97"/>
  <c r="T17" i="97"/>
  <c r="P17" i="97"/>
  <c r="T15" i="97"/>
  <c r="Z15" i="97" s="1"/>
  <c r="R15" i="97"/>
  <c r="P15" i="97"/>
  <c r="H15" i="97"/>
  <c r="N15" i="97" s="1"/>
  <c r="D15" i="97"/>
  <c r="L15" i="97" s="1"/>
  <c r="X13" i="97"/>
  <c r="Z13" i="97" s="1"/>
  <c r="P13" i="97"/>
  <c r="D13" i="97"/>
  <c r="B13" i="97"/>
  <c r="T12" i="97"/>
  <c r="V35" i="97" s="1"/>
  <c r="P12" i="97"/>
  <c r="R65" i="97" s="1"/>
  <c r="H12" i="97"/>
  <c r="J75" i="97" s="1"/>
  <c r="D6" i="97"/>
  <c r="D4" i="97"/>
  <c r="V31" i="96"/>
  <c r="J31" i="96"/>
  <c r="R28" i="96"/>
  <c r="J28" i="96"/>
  <c r="F28" i="96"/>
  <c r="Z26" i="96"/>
  <c r="X26" i="96"/>
  <c r="N26" i="96"/>
  <c r="L26" i="96"/>
  <c r="J26" i="96"/>
  <c r="R24" i="96"/>
  <c r="J24" i="96"/>
  <c r="F24" i="96"/>
  <c r="Z22" i="96"/>
  <c r="P22" i="96"/>
  <c r="N22" i="96"/>
  <c r="L22" i="96"/>
  <c r="F22" i="96"/>
  <c r="D22" i="96"/>
  <c r="B22" i="96"/>
  <c r="Z21" i="96"/>
  <c r="X21" i="96"/>
  <c r="P21" i="96"/>
  <c r="N21" i="96"/>
  <c r="J21" i="96"/>
  <c r="D21" i="96"/>
  <c r="L21" i="96" s="1"/>
  <c r="B21" i="96"/>
  <c r="Z20" i="96"/>
  <c r="V20" i="96"/>
  <c r="T20" i="96"/>
  <c r="H20" i="96"/>
  <c r="N20" i="96" s="1"/>
  <c r="F20" i="96"/>
  <c r="D20" i="96"/>
  <c r="Z18" i="96"/>
  <c r="X18" i="96"/>
  <c r="T18" i="96"/>
  <c r="P18" i="96"/>
  <c r="H18" i="96"/>
  <c r="N18" i="96" s="1"/>
  <c r="F18" i="96"/>
  <c r="D18" i="96"/>
  <c r="L18" i="96" s="1"/>
  <c r="F16" i="96"/>
  <c r="T14" i="96"/>
  <c r="Z14" i="96" s="1"/>
  <c r="P14" i="96"/>
  <c r="H14" i="96"/>
  <c r="N14" i="96" s="1"/>
  <c r="F14" i="96"/>
  <c r="D14" i="96"/>
  <c r="T12" i="96"/>
  <c r="P12" i="96"/>
  <c r="N12" i="96"/>
  <c r="L12" i="96"/>
  <c r="H12" i="96"/>
  <c r="J22" i="96" s="1"/>
  <c r="D12" i="96"/>
  <c r="D6" i="96"/>
  <c r="D4" i="96"/>
  <c r="X88" i="95"/>
  <c r="Z88" i="95" s="1"/>
  <c r="L88" i="95"/>
  <c r="N88" i="95" s="1"/>
  <c r="T84" i="95"/>
  <c r="Z84" i="95" s="1"/>
  <c r="P84" i="95"/>
  <c r="X84" i="95" s="1"/>
  <c r="H84" i="95"/>
  <c r="N84" i="95" s="1"/>
  <c r="D84" i="95"/>
  <c r="X82" i="95"/>
  <c r="Z82" i="95" s="1"/>
  <c r="L82" i="95"/>
  <c r="N82" i="95" s="1"/>
  <c r="B82" i="95"/>
  <c r="Z81" i="95"/>
  <c r="X81" i="95"/>
  <c r="T81" i="95"/>
  <c r="P81" i="95"/>
  <c r="H81" i="95"/>
  <c r="F81" i="95"/>
  <c r="D81" i="95"/>
  <c r="L81" i="95" s="1"/>
  <c r="N81" i="95" s="1"/>
  <c r="B81" i="95"/>
  <c r="Z80" i="95"/>
  <c r="X80" i="95"/>
  <c r="N80" i="95"/>
  <c r="L80" i="95"/>
  <c r="B80" i="95"/>
  <c r="X79" i="95"/>
  <c r="Z79" i="95" s="1"/>
  <c r="V79" i="95"/>
  <c r="N79" i="95"/>
  <c r="L79" i="95"/>
  <c r="B79" i="95"/>
  <c r="X78" i="95"/>
  <c r="T78" i="95"/>
  <c r="P78" i="95"/>
  <c r="H78" i="95"/>
  <c r="D78" i="95"/>
  <c r="L78" i="95" s="1"/>
  <c r="N78" i="95" s="1"/>
  <c r="B78" i="95"/>
  <c r="Z77" i="95"/>
  <c r="X77" i="95"/>
  <c r="V77" i="95"/>
  <c r="N77" i="95"/>
  <c r="L77" i="95"/>
  <c r="B77" i="95"/>
  <c r="X76" i="95"/>
  <c r="Z76" i="95" s="1"/>
  <c r="N76" i="95"/>
  <c r="L76" i="95"/>
  <c r="B76" i="95"/>
  <c r="Z75" i="95"/>
  <c r="X75" i="95"/>
  <c r="N75" i="95"/>
  <c r="L75" i="95"/>
  <c r="B75" i="95"/>
  <c r="X74" i="95"/>
  <c r="Z74" i="95" s="1"/>
  <c r="L74" i="95"/>
  <c r="N74" i="95" s="1"/>
  <c r="B74" i="95"/>
  <c r="Z73" i="95"/>
  <c r="X73" i="95"/>
  <c r="V73" i="95"/>
  <c r="N73" i="95"/>
  <c r="L73" i="95"/>
  <c r="B73" i="95"/>
  <c r="X72" i="95"/>
  <c r="Z72" i="95" s="1"/>
  <c r="L72" i="95"/>
  <c r="N72" i="95" s="1"/>
  <c r="B72" i="95"/>
  <c r="Z71" i="95"/>
  <c r="X71" i="95"/>
  <c r="N71" i="95"/>
  <c r="L71" i="95"/>
  <c r="B71" i="95"/>
  <c r="X70" i="95"/>
  <c r="Z70" i="95" s="1"/>
  <c r="T70" i="95"/>
  <c r="P70" i="95"/>
  <c r="H70" i="95"/>
  <c r="D70" i="95"/>
  <c r="L70" i="95" s="1"/>
  <c r="B70" i="95"/>
  <c r="Z69" i="95"/>
  <c r="X69" i="95"/>
  <c r="N69" i="95"/>
  <c r="L69" i="95"/>
  <c r="B69" i="95"/>
  <c r="X68" i="95"/>
  <c r="Z68" i="95" s="1"/>
  <c r="N68" i="95"/>
  <c r="L68" i="95"/>
  <c r="B68" i="95"/>
  <c r="Z67" i="95"/>
  <c r="X67" i="95"/>
  <c r="N67" i="95"/>
  <c r="L67" i="95"/>
  <c r="B67" i="95"/>
  <c r="T66" i="95"/>
  <c r="P66" i="95"/>
  <c r="X66" i="95" s="1"/>
  <c r="J66" i="95"/>
  <c r="H66" i="95"/>
  <c r="D66" i="95"/>
  <c r="B66" i="95"/>
  <c r="Z65" i="95"/>
  <c r="X65" i="95"/>
  <c r="N65" i="95"/>
  <c r="L65" i="95"/>
  <c r="B65" i="95"/>
  <c r="T64" i="95"/>
  <c r="P64" i="95"/>
  <c r="X64" i="95" s="1"/>
  <c r="Z64" i="95" s="1"/>
  <c r="H64" i="95"/>
  <c r="D64" i="95"/>
  <c r="L64" i="95" s="1"/>
  <c r="B64" i="95"/>
  <c r="Z63" i="95"/>
  <c r="X63" i="95"/>
  <c r="N63" i="95"/>
  <c r="L63" i="95"/>
  <c r="B63" i="95"/>
  <c r="Z62" i="95"/>
  <c r="X62" i="95"/>
  <c r="T62" i="95"/>
  <c r="P62" i="95"/>
  <c r="L62" i="95"/>
  <c r="H62" i="95"/>
  <c r="D62" i="95"/>
  <c r="B62" i="95"/>
  <c r="Z61" i="95"/>
  <c r="X61" i="95"/>
  <c r="N61" i="95"/>
  <c r="L61" i="95"/>
  <c r="J61" i="95"/>
  <c r="B61" i="95"/>
  <c r="T60" i="95"/>
  <c r="P60" i="95"/>
  <c r="H60" i="95"/>
  <c r="D60" i="95"/>
  <c r="B60" i="95"/>
  <c r="X59" i="95"/>
  <c r="Z59" i="95" s="1"/>
  <c r="V59" i="95"/>
  <c r="N59" i="95"/>
  <c r="L59" i="95"/>
  <c r="B59" i="95"/>
  <c r="T58" i="95"/>
  <c r="P58" i="95"/>
  <c r="H58" i="95"/>
  <c r="D58" i="95"/>
  <c r="L58" i="95" s="1"/>
  <c r="N58" i="95" s="1"/>
  <c r="B58" i="95"/>
  <c r="Z57" i="95"/>
  <c r="X57" i="95"/>
  <c r="V57" i="95"/>
  <c r="N57" i="95"/>
  <c r="L57" i="95"/>
  <c r="B57" i="95"/>
  <c r="T56" i="95"/>
  <c r="Z56" i="95" s="1"/>
  <c r="P56" i="95"/>
  <c r="X56" i="95" s="1"/>
  <c r="N56" i="95"/>
  <c r="L56" i="95"/>
  <c r="H56" i="95"/>
  <c r="D56" i="95"/>
  <c r="B56" i="95"/>
  <c r="Z55" i="95"/>
  <c r="X55" i="95"/>
  <c r="N55" i="95"/>
  <c r="L55" i="95"/>
  <c r="B55" i="95"/>
  <c r="T54" i="95"/>
  <c r="P54" i="95"/>
  <c r="X54" i="95" s="1"/>
  <c r="H54" i="95"/>
  <c r="D54" i="95"/>
  <c r="B54" i="95"/>
  <c r="Z53" i="95"/>
  <c r="X53" i="95"/>
  <c r="N53" i="95"/>
  <c r="L53" i="95"/>
  <c r="B53" i="95"/>
  <c r="T52" i="95"/>
  <c r="P52" i="95"/>
  <c r="X52" i="95" s="1"/>
  <c r="Z52" i="95" s="1"/>
  <c r="H52" i="95"/>
  <c r="D52" i="95"/>
  <c r="L52" i="95" s="1"/>
  <c r="B52" i="95"/>
  <c r="Z51" i="95"/>
  <c r="X51" i="95"/>
  <c r="N51" i="95"/>
  <c r="L51" i="95"/>
  <c r="B51" i="95"/>
  <c r="Z50" i="95"/>
  <c r="X50" i="95"/>
  <c r="T50" i="95"/>
  <c r="P50" i="95"/>
  <c r="L50" i="95"/>
  <c r="H50" i="95"/>
  <c r="D50" i="95"/>
  <c r="B50" i="95"/>
  <c r="Z49" i="95"/>
  <c r="X49" i="95"/>
  <c r="N49" i="95"/>
  <c r="L49" i="95"/>
  <c r="J49" i="95"/>
  <c r="B49" i="95"/>
  <c r="T48" i="95"/>
  <c r="P48" i="95"/>
  <c r="H48" i="95"/>
  <c r="D48" i="95"/>
  <c r="B48" i="95"/>
  <c r="X47" i="95"/>
  <c r="Z47" i="95" s="1"/>
  <c r="V47" i="95"/>
  <c r="N47" i="95"/>
  <c r="L47" i="95"/>
  <c r="B47" i="95"/>
  <c r="T46" i="95"/>
  <c r="P46" i="95"/>
  <c r="H46" i="95"/>
  <c r="D46" i="95"/>
  <c r="L46" i="95" s="1"/>
  <c r="N46" i="95" s="1"/>
  <c r="B46" i="95"/>
  <c r="Z45" i="95"/>
  <c r="X45" i="95"/>
  <c r="V45" i="95"/>
  <c r="N45" i="95"/>
  <c r="L45" i="95"/>
  <c r="B45" i="95"/>
  <c r="T44" i="95"/>
  <c r="P44" i="95"/>
  <c r="X44" i="95" s="1"/>
  <c r="L44" i="95"/>
  <c r="N44" i="95" s="1"/>
  <c r="H44" i="95"/>
  <c r="D44" i="95"/>
  <c r="B44" i="95"/>
  <c r="Z43" i="95"/>
  <c r="X43" i="95"/>
  <c r="V43" i="95"/>
  <c r="N43" i="95"/>
  <c r="L43" i="95"/>
  <c r="B43" i="95"/>
  <c r="Z42" i="95"/>
  <c r="X42" i="95"/>
  <c r="N42" i="95"/>
  <c r="L42" i="95"/>
  <c r="B42" i="95"/>
  <c r="Z41" i="95"/>
  <c r="X41" i="95"/>
  <c r="N41" i="95"/>
  <c r="L41" i="95"/>
  <c r="B41" i="95"/>
  <c r="X40" i="95"/>
  <c r="Z40" i="95" s="1"/>
  <c r="V40" i="95"/>
  <c r="N40" i="95"/>
  <c r="L40" i="95"/>
  <c r="B40" i="95"/>
  <c r="Z39" i="95"/>
  <c r="X39" i="95"/>
  <c r="N39" i="95"/>
  <c r="L39" i="95"/>
  <c r="B39" i="95"/>
  <c r="X38" i="95"/>
  <c r="Z38" i="95" s="1"/>
  <c r="L38" i="95"/>
  <c r="N38" i="95" s="1"/>
  <c r="B38" i="95"/>
  <c r="X37" i="95"/>
  <c r="Z37" i="95" s="1"/>
  <c r="N37" i="95"/>
  <c r="L37" i="95"/>
  <c r="B37" i="95"/>
  <c r="Z36" i="95"/>
  <c r="X36" i="95"/>
  <c r="V36" i="95"/>
  <c r="N36" i="95"/>
  <c r="L36" i="95"/>
  <c r="B36" i="95"/>
  <c r="Z35" i="95"/>
  <c r="X35" i="95"/>
  <c r="L35" i="95"/>
  <c r="N35" i="95" s="1"/>
  <c r="J35" i="95"/>
  <c r="F35" i="95"/>
  <c r="B35" i="95"/>
  <c r="Z34" i="95"/>
  <c r="X34" i="95"/>
  <c r="N34" i="95"/>
  <c r="L34" i="95"/>
  <c r="B34" i="95"/>
  <c r="X33" i="95"/>
  <c r="Z33" i="95" s="1"/>
  <c r="V33" i="95"/>
  <c r="T33" i="95"/>
  <c r="P33" i="95"/>
  <c r="N33" i="95"/>
  <c r="J33" i="95"/>
  <c r="H33" i="95"/>
  <c r="F33" i="95"/>
  <c r="D33" i="95"/>
  <c r="L33" i="95" s="1"/>
  <c r="B33" i="95"/>
  <c r="Z32" i="95"/>
  <c r="X32" i="95"/>
  <c r="N32" i="95"/>
  <c r="L32" i="95"/>
  <c r="F32" i="95"/>
  <c r="B32" i="95"/>
  <c r="X31" i="95"/>
  <c r="Z31" i="95" s="1"/>
  <c r="V31" i="95"/>
  <c r="N31" i="95"/>
  <c r="L31" i="95"/>
  <c r="B31" i="95"/>
  <c r="X30" i="95"/>
  <c r="Z30" i="95" s="1"/>
  <c r="L30" i="95"/>
  <c r="N30" i="95" s="1"/>
  <c r="J30" i="95"/>
  <c r="B30" i="95"/>
  <c r="Z29" i="95"/>
  <c r="X29" i="95"/>
  <c r="N29" i="95"/>
  <c r="L29" i="95"/>
  <c r="B29" i="95"/>
  <c r="Z28" i="95"/>
  <c r="X28" i="95"/>
  <c r="N28" i="95"/>
  <c r="L28" i="95"/>
  <c r="B28" i="95"/>
  <c r="X27" i="95"/>
  <c r="Z27" i="95" s="1"/>
  <c r="V27" i="95"/>
  <c r="N27" i="95"/>
  <c r="L27" i="95"/>
  <c r="B27" i="95"/>
  <c r="X26" i="95"/>
  <c r="Z26" i="95" s="1"/>
  <c r="V26" i="95"/>
  <c r="L26" i="95"/>
  <c r="N26" i="95" s="1"/>
  <c r="B26" i="95"/>
  <c r="Z25" i="95"/>
  <c r="X25" i="95"/>
  <c r="V25" i="95"/>
  <c r="N25" i="95"/>
  <c r="L25" i="95"/>
  <c r="J25" i="95"/>
  <c r="B25" i="95"/>
  <c r="Z24" i="95"/>
  <c r="X24" i="95"/>
  <c r="L24" i="95"/>
  <c r="N24" i="95" s="1"/>
  <c r="B24" i="95"/>
  <c r="X23" i="95"/>
  <c r="Z23" i="95" s="1"/>
  <c r="V23" i="95"/>
  <c r="N23" i="95"/>
  <c r="L23" i="95"/>
  <c r="B23" i="95"/>
  <c r="X22" i="95"/>
  <c r="T22" i="95"/>
  <c r="P22" i="95"/>
  <c r="H22" i="95"/>
  <c r="D22" i="95"/>
  <c r="L22" i="95" s="1"/>
  <c r="N22" i="95" s="1"/>
  <c r="B22" i="95"/>
  <c r="V21" i="95"/>
  <c r="T21" i="95"/>
  <c r="P21" i="95"/>
  <c r="X21" i="95" s="1"/>
  <c r="Z21" i="95" s="1"/>
  <c r="H21" i="95"/>
  <c r="D21" i="95"/>
  <c r="L21" i="95" s="1"/>
  <c r="N21" i="95" s="1"/>
  <c r="X17" i="95"/>
  <c r="Z17" i="95" s="1"/>
  <c r="V17" i="95"/>
  <c r="L17" i="95"/>
  <c r="N17" i="95" s="1"/>
  <c r="B17" i="95"/>
  <c r="T16" i="95"/>
  <c r="T19" i="95" s="1"/>
  <c r="V19" i="95" s="1"/>
  <c r="P16" i="95"/>
  <c r="X16" i="95" s="1"/>
  <c r="L16" i="95"/>
  <c r="N16" i="95" s="1"/>
  <c r="J16" i="95"/>
  <c r="H16" i="95"/>
  <c r="D16" i="95"/>
  <c r="Z14" i="95"/>
  <c r="X14" i="95"/>
  <c r="P14" i="95"/>
  <c r="N14" i="95"/>
  <c r="D14" i="95"/>
  <c r="L14" i="95" s="1"/>
  <c r="B14" i="95"/>
  <c r="P13" i="95"/>
  <c r="D13" i="95"/>
  <c r="L13" i="95" s="1"/>
  <c r="N13" i="95" s="1"/>
  <c r="B13" i="95"/>
  <c r="T12" i="95"/>
  <c r="V35" i="95" s="1"/>
  <c r="H12" i="95"/>
  <c r="J63" i="95" s="1"/>
  <c r="D12" i="95"/>
  <c r="F42" i="95" s="1"/>
  <c r="D6" i="95"/>
  <c r="D4" i="95"/>
  <c r="X98" i="94"/>
  <c r="Z98" i="94" s="1"/>
  <c r="L98" i="94"/>
  <c r="N98" i="94" s="1"/>
  <c r="J98" i="94"/>
  <c r="Z94" i="94"/>
  <c r="T94" i="94"/>
  <c r="X94" i="94" s="1"/>
  <c r="P94" i="94"/>
  <c r="N94" i="94"/>
  <c r="H94" i="94"/>
  <c r="D94" i="94"/>
  <c r="L94" i="94" s="1"/>
  <c r="X92" i="94"/>
  <c r="Z92" i="94" s="1"/>
  <c r="L92" i="94"/>
  <c r="N92" i="94" s="1"/>
  <c r="B92" i="94"/>
  <c r="T91" i="94"/>
  <c r="P91" i="94"/>
  <c r="H91" i="94"/>
  <c r="D91" i="94"/>
  <c r="B91" i="94"/>
  <c r="Z90" i="94"/>
  <c r="X90" i="94"/>
  <c r="N90" i="94"/>
  <c r="L90" i="94"/>
  <c r="B90" i="94"/>
  <c r="Z89" i="94"/>
  <c r="X89" i="94"/>
  <c r="L89" i="94"/>
  <c r="N89" i="94" s="1"/>
  <c r="B89" i="94"/>
  <c r="T88" i="94"/>
  <c r="P88" i="94"/>
  <c r="X88" i="94" s="1"/>
  <c r="H88" i="94"/>
  <c r="D88" i="94"/>
  <c r="L88" i="94" s="1"/>
  <c r="N88" i="94" s="1"/>
  <c r="B88" i="94"/>
  <c r="Z87" i="94"/>
  <c r="X87" i="94"/>
  <c r="N87" i="94"/>
  <c r="L87" i="94"/>
  <c r="B87" i="94"/>
  <c r="X86" i="94"/>
  <c r="Z86" i="94" s="1"/>
  <c r="N86" i="94"/>
  <c r="L86" i="94"/>
  <c r="B86" i="94"/>
  <c r="Z85" i="94"/>
  <c r="X85" i="94"/>
  <c r="N85" i="94"/>
  <c r="L85" i="94"/>
  <c r="B85" i="94"/>
  <c r="X84" i="94"/>
  <c r="Z84" i="94" s="1"/>
  <c r="V84" i="94"/>
  <c r="N84" i="94"/>
  <c r="L84" i="94"/>
  <c r="B84" i="94"/>
  <c r="Z83" i="94"/>
  <c r="X83" i="94"/>
  <c r="N83" i="94"/>
  <c r="L83" i="94"/>
  <c r="B83" i="94"/>
  <c r="X82" i="94"/>
  <c r="Z82" i="94" s="1"/>
  <c r="L82" i="94"/>
  <c r="N82" i="94" s="1"/>
  <c r="B82" i="94"/>
  <c r="X81" i="94"/>
  <c r="Z81" i="94" s="1"/>
  <c r="V81" i="94"/>
  <c r="N81" i="94"/>
  <c r="L81" i="94"/>
  <c r="B81" i="94"/>
  <c r="X80" i="94"/>
  <c r="Z80" i="94" s="1"/>
  <c r="L80" i="94"/>
  <c r="N80" i="94" s="1"/>
  <c r="B80" i="94"/>
  <c r="Z79" i="94"/>
  <c r="X79" i="94"/>
  <c r="V79" i="94"/>
  <c r="L79" i="94"/>
  <c r="N79" i="94" s="1"/>
  <c r="B79" i="94"/>
  <c r="Z78" i="94"/>
  <c r="X78" i="94"/>
  <c r="V78" i="94"/>
  <c r="T78" i="94"/>
  <c r="P78" i="94"/>
  <c r="H78" i="94"/>
  <c r="N78" i="94" s="1"/>
  <c r="D78" i="94"/>
  <c r="L78" i="94" s="1"/>
  <c r="B78" i="94"/>
  <c r="Z77" i="94"/>
  <c r="X77" i="94"/>
  <c r="N77" i="94"/>
  <c r="L77" i="94"/>
  <c r="B77" i="94"/>
  <c r="V76" i="94"/>
  <c r="T76" i="94"/>
  <c r="P76" i="94"/>
  <c r="L76" i="94"/>
  <c r="H76" i="94"/>
  <c r="N76" i="94" s="1"/>
  <c r="D76" i="94"/>
  <c r="B76" i="94"/>
  <c r="X75" i="94"/>
  <c r="Z75" i="94" s="1"/>
  <c r="V75" i="94"/>
  <c r="N75" i="94"/>
  <c r="L75" i="94"/>
  <c r="B75" i="94"/>
  <c r="X74" i="94"/>
  <c r="Z74" i="94" s="1"/>
  <c r="L74" i="94"/>
  <c r="N74" i="94" s="1"/>
  <c r="B74" i="94"/>
  <c r="Z73" i="94"/>
  <c r="X73" i="94"/>
  <c r="N73" i="94"/>
  <c r="L73" i="94"/>
  <c r="B73" i="94"/>
  <c r="Z72" i="94"/>
  <c r="X72" i="94"/>
  <c r="L72" i="94"/>
  <c r="N72" i="94" s="1"/>
  <c r="B72" i="94"/>
  <c r="X71" i="94"/>
  <c r="V71" i="94"/>
  <c r="T71" i="94"/>
  <c r="Z71" i="94" s="1"/>
  <c r="P71" i="94"/>
  <c r="H71" i="94"/>
  <c r="D71" i="94"/>
  <c r="L71" i="94" s="1"/>
  <c r="N71" i="94" s="1"/>
  <c r="B71" i="94"/>
  <c r="Z70" i="94"/>
  <c r="X70" i="94"/>
  <c r="V70" i="94"/>
  <c r="L70" i="94"/>
  <c r="N70" i="94" s="1"/>
  <c r="B70" i="94"/>
  <c r="Z69" i="94"/>
  <c r="X69" i="94"/>
  <c r="N69" i="94"/>
  <c r="L69" i="94"/>
  <c r="B69" i="94"/>
  <c r="X68" i="94"/>
  <c r="Z68" i="94" s="1"/>
  <c r="N68" i="94"/>
  <c r="L68" i="94"/>
  <c r="B68" i="94"/>
  <c r="Z67" i="94"/>
  <c r="X67" i="94"/>
  <c r="V67" i="94"/>
  <c r="N67" i="94"/>
  <c r="L67" i="94"/>
  <c r="B67" i="94"/>
  <c r="V66" i="94"/>
  <c r="T66" i="94"/>
  <c r="P66" i="94"/>
  <c r="X66" i="94" s="1"/>
  <c r="Z66" i="94" s="1"/>
  <c r="H66" i="94"/>
  <c r="N66" i="94" s="1"/>
  <c r="D66" i="94"/>
  <c r="L66" i="94" s="1"/>
  <c r="B66" i="94"/>
  <c r="Z65" i="94"/>
  <c r="X65" i="94"/>
  <c r="N65" i="94"/>
  <c r="L65" i="94"/>
  <c r="B65" i="94"/>
  <c r="V64" i="94"/>
  <c r="T64" i="94"/>
  <c r="P64" i="94"/>
  <c r="L64" i="94"/>
  <c r="H64" i="94"/>
  <c r="D64" i="94"/>
  <c r="B64" i="94"/>
  <c r="X63" i="94"/>
  <c r="Z63" i="94" s="1"/>
  <c r="V63" i="94"/>
  <c r="N63" i="94"/>
  <c r="L63" i="94"/>
  <c r="B63" i="94"/>
  <c r="T62" i="94"/>
  <c r="Z62" i="94" s="1"/>
  <c r="P62" i="94"/>
  <c r="X62" i="94" s="1"/>
  <c r="H62" i="94"/>
  <c r="D62" i="94"/>
  <c r="B62" i="94"/>
  <c r="Z61" i="94"/>
  <c r="X61" i="94"/>
  <c r="V61" i="94"/>
  <c r="L61" i="94"/>
  <c r="N61" i="94" s="1"/>
  <c r="B61" i="94"/>
  <c r="T60" i="94"/>
  <c r="P60" i="94"/>
  <c r="X60" i="94" s="1"/>
  <c r="H60" i="94"/>
  <c r="D60" i="94"/>
  <c r="L60" i="94" s="1"/>
  <c r="N60" i="94" s="1"/>
  <c r="B60" i="94"/>
  <c r="X59" i="94"/>
  <c r="Z59" i="94" s="1"/>
  <c r="L59" i="94"/>
  <c r="N59" i="94" s="1"/>
  <c r="B59" i="94"/>
  <c r="X58" i="94"/>
  <c r="T58" i="94"/>
  <c r="P58" i="94"/>
  <c r="J58" i="94"/>
  <c r="H58" i="94"/>
  <c r="D58" i="94"/>
  <c r="B58" i="94"/>
  <c r="Z57" i="94"/>
  <c r="X57" i="94"/>
  <c r="N57" i="94"/>
  <c r="L57" i="94"/>
  <c r="B57" i="94"/>
  <c r="T56" i="94"/>
  <c r="P56" i="94"/>
  <c r="H56" i="94"/>
  <c r="N56" i="94" s="1"/>
  <c r="D56" i="94"/>
  <c r="L56" i="94" s="1"/>
  <c r="B56" i="94"/>
  <c r="Z55" i="94"/>
  <c r="X55" i="94"/>
  <c r="V55" i="94"/>
  <c r="N55" i="94"/>
  <c r="L55" i="94"/>
  <c r="B55" i="94"/>
  <c r="Z54" i="94"/>
  <c r="X54" i="94"/>
  <c r="V54" i="94"/>
  <c r="T54" i="94"/>
  <c r="P54" i="94"/>
  <c r="H54" i="94"/>
  <c r="N54" i="94" s="1"/>
  <c r="D54" i="94"/>
  <c r="L54" i="94" s="1"/>
  <c r="B54" i="94"/>
  <c r="X53" i="94"/>
  <c r="Z53" i="94" s="1"/>
  <c r="V53" i="94"/>
  <c r="N53" i="94"/>
  <c r="L53" i="94"/>
  <c r="B53" i="94"/>
  <c r="X52" i="94"/>
  <c r="V52" i="94"/>
  <c r="T52" i="94"/>
  <c r="P52" i="94"/>
  <c r="L52" i="94"/>
  <c r="H52" i="94"/>
  <c r="D52" i="94"/>
  <c r="B52" i="94"/>
  <c r="X51" i="94"/>
  <c r="Z51" i="94" s="1"/>
  <c r="V51" i="94"/>
  <c r="N51" i="94"/>
  <c r="L51" i="94"/>
  <c r="B51" i="94"/>
  <c r="T50" i="94"/>
  <c r="P50" i="94"/>
  <c r="X50" i="94" s="1"/>
  <c r="N50" i="94"/>
  <c r="H50" i="94"/>
  <c r="L50" i="94" s="1"/>
  <c r="D50" i="94"/>
  <c r="B50" i="94"/>
  <c r="Z49" i="94"/>
  <c r="X49" i="94"/>
  <c r="V49" i="94"/>
  <c r="L49" i="94"/>
  <c r="N49" i="94" s="1"/>
  <c r="B49" i="94"/>
  <c r="T48" i="94"/>
  <c r="Z48" i="94" s="1"/>
  <c r="P48" i="94"/>
  <c r="X48" i="94" s="1"/>
  <c r="L48" i="94"/>
  <c r="N48" i="94" s="1"/>
  <c r="H48" i="94"/>
  <c r="D48" i="94"/>
  <c r="B48" i="94"/>
  <c r="Z47" i="94"/>
  <c r="X47" i="94"/>
  <c r="V47" i="94"/>
  <c r="N47" i="94"/>
  <c r="L47" i="94"/>
  <c r="J47" i="94"/>
  <c r="B47" i="94"/>
  <c r="Z46" i="94"/>
  <c r="X46" i="94"/>
  <c r="N46" i="94"/>
  <c r="L46" i="94"/>
  <c r="B46" i="94"/>
  <c r="Z45" i="94"/>
  <c r="X45" i="94"/>
  <c r="V45" i="94"/>
  <c r="N45" i="94"/>
  <c r="L45" i="94"/>
  <c r="B45" i="94"/>
  <c r="X44" i="94"/>
  <c r="Z44" i="94" s="1"/>
  <c r="V44" i="94"/>
  <c r="N44" i="94"/>
  <c r="L44" i="94"/>
  <c r="B44" i="94"/>
  <c r="Z43" i="94"/>
  <c r="X43" i="94"/>
  <c r="V43" i="94"/>
  <c r="N43" i="94"/>
  <c r="L43" i="94"/>
  <c r="B43" i="94"/>
  <c r="X42" i="94"/>
  <c r="Z42" i="94" s="1"/>
  <c r="L42" i="94"/>
  <c r="N42" i="94" s="1"/>
  <c r="B42" i="94"/>
  <c r="X41" i="94"/>
  <c r="Z41" i="94" s="1"/>
  <c r="V41" i="94"/>
  <c r="N41" i="94"/>
  <c r="L41" i="94"/>
  <c r="B41" i="94"/>
  <c r="Z40" i="94"/>
  <c r="X40" i="94"/>
  <c r="V40" i="94"/>
  <c r="N40" i="94"/>
  <c r="L40" i="94"/>
  <c r="B40" i="94"/>
  <c r="Z39" i="94"/>
  <c r="X39" i="94"/>
  <c r="V39" i="94"/>
  <c r="L39" i="94"/>
  <c r="N39" i="94" s="1"/>
  <c r="B39" i="94"/>
  <c r="Z38" i="94"/>
  <c r="X38" i="94"/>
  <c r="N38" i="94"/>
  <c r="L38" i="94"/>
  <c r="B38" i="94"/>
  <c r="Z37" i="94"/>
  <c r="X37" i="94"/>
  <c r="V37" i="94"/>
  <c r="T37" i="94"/>
  <c r="P37" i="94"/>
  <c r="H37" i="94"/>
  <c r="D37" i="94"/>
  <c r="L37" i="94" s="1"/>
  <c r="N37" i="94" s="1"/>
  <c r="B37" i="94"/>
  <c r="X36" i="94"/>
  <c r="Z36" i="94" s="1"/>
  <c r="L36" i="94"/>
  <c r="N36" i="94" s="1"/>
  <c r="B36" i="94"/>
  <c r="X35" i="94"/>
  <c r="Z35" i="94" s="1"/>
  <c r="V35" i="94"/>
  <c r="N35" i="94"/>
  <c r="L35" i="94"/>
  <c r="B35" i="94"/>
  <c r="X34" i="94"/>
  <c r="Z34" i="94" s="1"/>
  <c r="V34" i="94"/>
  <c r="N34" i="94"/>
  <c r="L34" i="94"/>
  <c r="B34" i="94"/>
  <c r="Z33" i="94"/>
  <c r="X33" i="94"/>
  <c r="V33" i="94"/>
  <c r="N33" i="94"/>
  <c r="L33" i="94"/>
  <c r="J33" i="94"/>
  <c r="B33" i="94"/>
  <c r="Z32" i="94"/>
  <c r="X32" i="94"/>
  <c r="N32" i="94"/>
  <c r="L32" i="94"/>
  <c r="B32" i="94"/>
  <c r="Z31" i="94"/>
  <c r="X31" i="94"/>
  <c r="V31" i="94"/>
  <c r="N31" i="94"/>
  <c r="L31" i="94"/>
  <c r="B31" i="94"/>
  <c r="X30" i="94"/>
  <c r="Z30" i="94" s="1"/>
  <c r="V30" i="94"/>
  <c r="L30" i="94"/>
  <c r="N30" i="94" s="1"/>
  <c r="B30" i="94"/>
  <c r="Z29" i="94"/>
  <c r="X29" i="94"/>
  <c r="V29" i="94"/>
  <c r="N29" i="94"/>
  <c r="L29" i="94"/>
  <c r="J29" i="94"/>
  <c r="B29" i="94"/>
  <c r="Z28" i="94"/>
  <c r="X28" i="94"/>
  <c r="L28" i="94"/>
  <c r="N28" i="94" s="1"/>
  <c r="B28" i="94"/>
  <c r="X27" i="94"/>
  <c r="Z27" i="94" s="1"/>
  <c r="V27" i="94"/>
  <c r="N27" i="94"/>
  <c r="L27" i="94"/>
  <c r="B27" i="94"/>
  <c r="X26" i="94"/>
  <c r="V26" i="94"/>
  <c r="T26" i="94"/>
  <c r="P26" i="94"/>
  <c r="H26" i="94"/>
  <c r="D26" i="94"/>
  <c r="L26" i="94" s="1"/>
  <c r="B26" i="94"/>
  <c r="V25" i="94"/>
  <c r="T25" i="94"/>
  <c r="X25" i="94" s="1"/>
  <c r="Z25" i="94" s="1"/>
  <c r="P25" i="94"/>
  <c r="H25" i="94"/>
  <c r="D25" i="94"/>
  <c r="L25" i="94" s="1"/>
  <c r="N25" i="94" s="1"/>
  <c r="T23" i="94"/>
  <c r="Z21" i="94"/>
  <c r="X21" i="94"/>
  <c r="V21" i="94"/>
  <c r="N21" i="94"/>
  <c r="L21" i="94"/>
  <c r="B21" i="94"/>
  <c r="Z20" i="94"/>
  <c r="X20" i="94"/>
  <c r="V20" i="94"/>
  <c r="N20" i="94"/>
  <c r="L20" i="94"/>
  <c r="B20" i="94"/>
  <c r="Z19" i="94"/>
  <c r="X19" i="94"/>
  <c r="V19" i="94"/>
  <c r="L19" i="94"/>
  <c r="N19" i="94" s="1"/>
  <c r="B19" i="94"/>
  <c r="V18" i="94"/>
  <c r="T18" i="94"/>
  <c r="P18" i="94"/>
  <c r="X18" i="94" s="1"/>
  <c r="Z18" i="94" s="1"/>
  <c r="L18" i="94"/>
  <c r="H18" i="94"/>
  <c r="D18" i="94"/>
  <c r="Z16" i="94"/>
  <c r="P16" i="94"/>
  <c r="N16" i="94"/>
  <c r="D16" i="94"/>
  <c r="L16" i="94" s="1"/>
  <c r="B16" i="94"/>
  <c r="Z15" i="94"/>
  <c r="X15" i="94"/>
  <c r="P15" i="94"/>
  <c r="N15" i="94"/>
  <c r="L15" i="94"/>
  <c r="D15" i="94"/>
  <c r="B15" i="94"/>
  <c r="X14" i="94"/>
  <c r="Z14" i="94" s="1"/>
  <c r="P14" i="94"/>
  <c r="N14" i="94"/>
  <c r="D14" i="94"/>
  <c r="L14" i="94" s="1"/>
  <c r="B14" i="94"/>
  <c r="Z13" i="94"/>
  <c r="X13" i="94"/>
  <c r="P13" i="94"/>
  <c r="N13" i="94"/>
  <c r="L13" i="94"/>
  <c r="D13" i="94"/>
  <c r="B13" i="94"/>
  <c r="T12" i="94"/>
  <c r="V86" i="94" s="1"/>
  <c r="H12" i="94"/>
  <c r="J88" i="94" s="1"/>
  <c r="D6" i="94"/>
  <c r="D4" i="94"/>
  <c r="F31" i="93"/>
  <c r="Z26" i="93"/>
  <c r="X26" i="93"/>
  <c r="N26" i="93"/>
  <c r="L26" i="93"/>
  <c r="F26" i="93"/>
  <c r="V24" i="93"/>
  <c r="R24" i="93"/>
  <c r="F24" i="93"/>
  <c r="Z22" i="93"/>
  <c r="X22" i="93"/>
  <c r="V22" i="93"/>
  <c r="T22" i="93"/>
  <c r="R22" i="93"/>
  <c r="P22" i="93"/>
  <c r="H22" i="93"/>
  <c r="N22" i="93" s="1"/>
  <c r="D22" i="93"/>
  <c r="Z20" i="93"/>
  <c r="X20" i="93"/>
  <c r="V20" i="93"/>
  <c r="N20" i="93"/>
  <c r="L20" i="93"/>
  <c r="F20" i="93"/>
  <c r="B20" i="93"/>
  <c r="Z19" i="93"/>
  <c r="X19" i="93"/>
  <c r="V19" i="93"/>
  <c r="T19" i="93"/>
  <c r="P19" i="93"/>
  <c r="N19" i="93"/>
  <c r="L19" i="93"/>
  <c r="H19" i="93"/>
  <c r="F19" i="93"/>
  <c r="D19" i="93"/>
  <c r="B19" i="93"/>
  <c r="Z18" i="93"/>
  <c r="T18" i="93"/>
  <c r="X18" i="93" s="1"/>
  <c r="P18" i="93"/>
  <c r="N18" i="93"/>
  <c r="H18" i="93"/>
  <c r="D18" i="93"/>
  <c r="L18" i="93" s="1"/>
  <c r="V16" i="93"/>
  <c r="D16" i="93"/>
  <c r="V14" i="93"/>
  <c r="T14" i="93"/>
  <c r="R14" i="93"/>
  <c r="P14" i="93"/>
  <c r="L14" i="93"/>
  <c r="H14" i="93"/>
  <c r="N14" i="93" s="1"/>
  <c r="D14" i="93"/>
  <c r="Z12" i="93"/>
  <c r="T12" i="93"/>
  <c r="P12" i="93"/>
  <c r="L12" i="93"/>
  <c r="H12" i="93"/>
  <c r="D12" i="93"/>
  <c r="F28" i="93" s="1"/>
  <c r="D6" i="93"/>
  <c r="D4" i="93"/>
  <c r="X93" i="92"/>
  <c r="Z93" i="92" s="1"/>
  <c r="N93" i="92"/>
  <c r="L93" i="92"/>
  <c r="T91" i="92"/>
  <c r="T95" i="92" s="1"/>
  <c r="T89" i="92"/>
  <c r="Z89" i="92" s="1"/>
  <c r="P89" i="92"/>
  <c r="H89" i="92"/>
  <c r="D89" i="92"/>
  <c r="Z87" i="92"/>
  <c r="X87" i="92"/>
  <c r="N87" i="92"/>
  <c r="L87" i="92"/>
  <c r="B87" i="92"/>
  <c r="X86" i="92"/>
  <c r="Z86" i="92" s="1"/>
  <c r="T86" i="92"/>
  <c r="P86" i="92"/>
  <c r="N86" i="92"/>
  <c r="L86" i="92"/>
  <c r="J86" i="92"/>
  <c r="H86" i="92"/>
  <c r="D86" i="92"/>
  <c r="B86" i="92"/>
  <c r="Z85" i="92"/>
  <c r="X85" i="92"/>
  <c r="N85" i="92"/>
  <c r="L85" i="92"/>
  <c r="J85" i="92"/>
  <c r="B85" i="92"/>
  <c r="T84" i="92"/>
  <c r="P84" i="92"/>
  <c r="H84" i="92"/>
  <c r="D84" i="92"/>
  <c r="B84" i="92"/>
  <c r="X83" i="92"/>
  <c r="Z83" i="92" s="1"/>
  <c r="V83" i="92"/>
  <c r="N83" i="92"/>
  <c r="L83" i="92"/>
  <c r="B83" i="92"/>
  <c r="Z82" i="92"/>
  <c r="X82" i="92"/>
  <c r="L82" i="92"/>
  <c r="N82" i="92" s="1"/>
  <c r="B82" i="92"/>
  <c r="Z81" i="92"/>
  <c r="X81" i="92"/>
  <c r="V81" i="92"/>
  <c r="R81" i="92"/>
  <c r="L81" i="92"/>
  <c r="N81" i="92" s="1"/>
  <c r="B81" i="92"/>
  <c r="Z80" i="92"/>
  <c r="X80" i="92"/>
  <c r="L80" i="92"/>
  <c r="N80" i="92" s="1"/>
  <c r="J80" i="92"/>
  <c r="B80" i="92"/>
  <c r="X79" i="92"/>
  <c r="Z79" i="92" s="1"/>
  <c r="L79" i="92"/>
  <c r="N79" i="92" s="1"/>
  <c r="B79" i="92"/>
  <c r="Z78" i="92"/>
  <c r="X78" i="92"/>
  <c r="V78" i="92"/>
  <c r="N78" i="92"/>
  <c r="L78" i="92"/>
  <c r="B78" i="92"/>
  <c r="Z77" i="92"/>
  <c r="X77" i="92"/>
  <c r="L77" i="92"/>
  <c r="N77" i="92" s="1"/>
  <c r="B77" i="92"/>
  <c r="Z76" i="92"/>
  <c r="X76" i="92"/>
  <c r="L76" i="92"/>
  <c r="N76" i="92" s="1"/>
  <c r="J76" i="92"/>
  <c r="B76" i="92"/>
  <c r="X75" i="92"/>
  <c r="Z75" i="92" s="1"/>
  <c r="T75" i="92"/>
  <c r="P75" i="92"/>
  <c r="H75" i="92"/>
  <c r="D75" i="92"/>
  <c r="B75" i="92"/>
  <c r="Z74" i="92"/>
  <c r="X74" i="92"/>
  <c r="N74" i="92"/>
  <c r="L74" i="92"/>
  <c r="B74" i="92"/>
  <c r="X73" i="92"/>
  <c r="Z73" i="92" s="1"/>
  <c r="N73" i="92"/>
  <c r="L73" i="92"/>
  <c r="B73" i="92"/>
  <c r="X72" i="92"/>
  <c r="Z72" i="92" s="1"/>
  <c r="V72" i="92"/>
  <c r="N72" i="92"/>
  <c r="L72" i="92"/>
  <c r="J72" i="92"/>
  <c r="B72" i="92"/>
  <c r="X71" i="92"/>
  <c r="Z71" i="92" s="1"/>
  <c r="L71" i="92"/>
  <c r="N71" i="92" s="1"/>
  <c r="B71" i="92"/>
  <c r="X70" i="92"/>
  <c r="Z70" i="92" s="1"/>
  <c r="T70" i="92"/>
  <c r="P70" i="92"/>
  <c r="L70" i="92"/>
  <c r="J70" i="92"/>
  <c r="H70" i="92"/>
  <c r="N70" i="92" s="1"/>
  <c r="D70" i="92"/>
  <c r="B70" i="92"/>
  <c r="Z69" i="92"/>
  <c r="X69" i="92"/>
  <c r="N69" i="92"/>
  <c r="L69" i="92"/>
  <c r="J69" i="92"/>
  <c r="B69" i="92"/>
  <c r="Z68" i="92"/>
  <c r="X68" i="92"/>
  <c r="N68" i="92"/>
  <c r="L68" i="92"/>
  <c r="J68" i="92"/>
  <c r="B68" i="92"/>
  <c r="Z67" i="92"/>
  <c r="X67" i="92"/>
  <c r="N67" i="92"/>
  <c r="L67" i="92"/>
  <c r="J67" i="92"/>
  <c r="B67" i="92"/>
  <c r="T66" i="92"/>
  <c r="R66" i="92"/>
  <c r="P66" i="92"/>
  <c r="H66" i="92"/>
  <c r="D66" i="92"/>
  <c r="B66" i="92"/>
  <c r="Z65" i="92"/>
  <c r="X65" i="92"/>
  <c r="L65" i="92"/>
  <c r="N65" i="92" s="1"/>
  <c r="B65" i="92"/>
  <c r="T64" i="92"/>
  <c r="P64" i="92"/>
  <c r="X64" i="92" s="1"/>
  <c r="N64" i="92"/>
  <c r="J64" i="92"/>
  <c r="H64" i="92"/>
  <c r="D64" i="92"/>
  <c r="L64" i="92" s="1"/>
  <c r="B64" i="92"/>
  <c r="X63" i="92"/>
  <c r="Z63" i="92" s="1"/>
  <c r="N63" i="92"/>
  <c r="L63" i="92"/>
  <c r="B63" i="92"/>
  <c r="X62" i="92"/>
  <c r="Z62" i="92" s="1"/>
  <c r="T62" i="92"/>
  <c r="P62" i="92"/>
  <c r="L62" i="92"/>
  <c r="J62" i="92"/>
  <c r="H62" i="92"/>
  <c r="F62" i="92"/>
  <c r="D62" i="92"/>
  <c r="B62" i="92"/>
  <c r="Z61" i="92"/>
  <c r="X61" i="92"/>
  <c r="R61" i="92"/>
  <c r="N61" i="92"/>
  <c r="L61" i="92"/>
  <c r="J61" i="92"/>
  <c r="B61" i="92"/>
  <c r="V60" i="92"/>
  <c r="T60" i="92"/>
  <c r="P60" i="92"/>
  <c r="H60" i="92"/>
  <c r="F60" i="92"/>
  <c r="D60" i="92"/>
  <c r="B60" i="92"/>
  <c r="X59" i="92"/>
  <c r="Z59" i="92" s="1"/>
  <c r="L59" i="92"/>
  <c r="N59" i="92" s="1"/>
  <c r="B59" i="92"/>
  <c r="Z58" i="92"/>
  <c r="V58" i="92"/>
  <c r="T58" i="92"/>
  <c r="P58" i="92"/>
  <c r="X58" i="92" s="1"/>
  <c r="J58" i="92"/>
  <c r="H58" i="92"/>
  <c r="D58" i="92"/>
  <c r="L58" i="92" s="1"/>
  <c r="B58" i="92"/>
  <c r="X57" i="92"/>
  <c r="Z57" i="92" s="1"/>
  <c r="N57" i="92"/>
  <c r="L57" i="92"/>
  <c r="B57" i="92"/>
  <c r="X56" i="92"/>
  <c r="V56" i="92"/>
  <c r="T56" i="92"/>
  <c r="Z56" i="92" s="1"/>
  <c r="P56" i="92"/>
  <c r="L56" i="92"/>
  <c r="N56" i="92" s="1"/>
  <c r="H56" i="92"/>
  <c r="D56" i="92"/>
  <c r="B56" i="92"/>
  <c r="Z55" i="92"/>
  <c r="X55" i="92"/>
  <c r="R55" i="92"/>
  <c r="N55" i="92"/>
  <c r="L55" i="92"/>
  <c r="J55" i="92"/>
  <c r="B55" i="92"/>
  <c r="T54" i="92"/>
  <c r="X54" i="92" s="1"/>
  <c r="P54" i="92"/>
  <c r="N54" i="92"/>
  <c r="J54" i="92"/>
  <c r="H54" i="92"/>
  <c r="L54" i="92" s="1"/>
  <c r="D54" i="92"/>
  <c r="B54" i="92"/>
  <c r="Z53" i="92"/>
  <c r="X53" i="92"/>
  <c r="L53" i="92"/>
  <c r="N53" i="92" s="1"/>
  <c r="B53" i="92"/>
  <c r="V52" i="92"/>
  <c r="T52" i="92"/>
  <c r="Z52" i="92" s="1"/>
  <c r="P52" i="92"/>
  <c r="X52" i="92" s="1"/>
  <c r="N52" i="92"/>
  <c r="J52" i="92"/>
  <c r="H52" i="92"/>
  <c r="D52" i="92"/>
  <c r="L52" i="92" s="1"/>
  <c r="B52" i="92"/>
  <c r="X51" i="92"/>
  <c r="Z51" i="92" s="1"/>
  <c r="L51" i="92"/>
  <c r="N51" i="92" s="1"/>
  <c r="F51" i="92"/>
  <c r="B51" i="92"/>
  <c r="X50" i="92"/>
  <c r="Z50" i="92" s="1"/>
  <c r="T50" i="92"/>
  <c r="P50" i="92"/>
  <c r="L50" i="92"/>
  <c r="J50" i="92"/>
  <c r="H50" i="92"/>
  <c r="N50" i="92" s="1"/>
  <c r="D50" i="92"/>
  <c r="B50" i="92"/>
  <c r="Z49" i="92"/>
  <c r="X49" i="92"/>
  <c r="R49" i="92"/>
  <c r="N49" i="92"/>
  <c r="L49" i="92"/>
  <c r="J49" i="92"/>
  <c r="B49" i="92"/>
  <c r="T48" i="92"/>
  <c r="P48" i="92"/>
  <c r="N48" i="92"/>
  <c r="H48" i="92"/>
  <c r="L48" i="92" s="1"/>
  <c r="D48" i="92"/>
  <c r="B48" i="92"/>
  <c r="Z47" i="92"/>
  <c r="X47" i="92"/>
  <c r="N47" i="92"/>
  <c r="L47" i="92"/>
  <c r="B47" i="92"/>
  <c r="Z46" i="92"/>
  <c r="X46" i="92"/>
  <c r="N46" i="92"/>
  <c r="L46" i="92"/>
  <c r="B46" i="92"/>
  <c r="Z45" i="92"/>
  <c r="X45" i="92"/>
  <c r="L45" i="92"/>
  <c r="N45" i="92" s="1"/>
  <c r="F45" i="92"/>
  <c r="B45" i="92"/>
  <c r="Z44" i="92"/>
  <c r="X44" i="92"/>
  <c r="V44" i="92"/>
  <c r="N44" i="92"/>
  <c r="L44" i="92"/>
  <c r="J44" i="92"/>
  <c r="B44" i="92"/>
  <c r="Z43" i="92"/>
  <c r="X43" i="92"/>
  <c r="N43" i="92"/>
  <c r="L43" i="92"/>
  <c r="B43" i="92"/>
  <c r="Z42" i="92"/>
  <c r="X42" i="92"/>
  <c r="V42" i="92"/>
  <c r="N42" i="92"/>
  <c r="L42" i="92"/>
  <c r="B42" i="92"/>
  <c r="Z41" i="92"/>
  <c r="X41" i="92"/>
  <c r="R41" i="92"/>
  <c r="L41" i="92"/>
  <c r="N41" i="92" s="1"/>
  <c r="B41" i="92"/>
  <c r="Z40" i="92"/>
  <c r="X40" i="92"/>
  <c r="N40" i="92"/>
  <c r="L40" i="92"/>
  <c r="J40" i="92"/>
  <c r="B40" i="92"/>
  <c r="X39" i="92"/>
  <c r="Z39" i="92" s="1"/>
  <c r="V39" i="92"/>
  <c r="L39" i="92"/>
  <c r="N39" i="92" s="1"/>
  <c r="B39" i="92"/>
  <c r="Z38" i="92"/>
  <c r="X38" i="92"/>
  <c r="V38" i="92"/>
  <c r="N38" i="92"/>
  <c r="L38" i="92"/>
  <c r="B38" i="92"/>
  <c r="T37" i="92"/>
  <c r="P37" i="92"/>
  <c r="L37" i="92"/>
  <c r="N37" i="92" s="1"/>
  <c r="J37" i="92"/>
  <c r="H37" i="92"/>
  <c r="D37" i="92"/>
  <c r="B37" i="92"/>
  <c r="X36" i="92"/>
  <c r="Z36" i="92" s="1"/>
  <c r="N36" i="92"/>
  <c r="L36" i="92"/>
  <c r="J36" i="92"/>
  <c r="F36" i="92"/>
  <c r="B36" i="92"/>
  <c r="X35" i="92"/>
  <c r="Z35" i="92" s="1"/>
  <c r="N35" i="92"/>
  <c r="L35" i="92"/>
  <c r="B35" i="92"/>
  <c r="Z34" i="92"/>
  <c r="X34" i="92"/>
  <c r="N34" i="92"/>
  <c r="L34" i="92"/>
  <c r="B34" i="92"/>
  <c r="Z33" i="92"/>
  <c r="X33" i="92"/>
  <c r="R33" i="92"/>
  <c r="N33" i="92"/>
  <c r="L33" i="92"/>
  <c r="B33" i="92"/>
  <c r="Z32" i="92"/>
  <c r="X32" i="92"/>
  <c r="N32" i="92"/>
  <c r="L32" i="92"/>
  <c r="J32" i="92"/>
  <c r="F32" i="92"/>
  <c r="B32" i="92"/>
  <c r="X31" i="92"/>
  <c r="Z31" i="92" s="1"/>
  <c r="L31" i="92"/>
  <c r="N31" i="92" s="1"/>
  <c r="B31" i="92"/>
  <c r="X30" i="92"/>
  <c r="Z30" i="92" s="1"/>
  <c r="N30" i="92"/>
  <c r="L30" i="92"/>
  <c r="B30" i="92"/>
  <c r="X29" i="92"/>
  <c r="Z29" i="92" s="1"/>
  <c r="R29" i="92"/>
  <c r="N29" i="92"/>
  <c r="L29" i="92"/>
  <c r="B29" i="92"/>
  <c r="X28" i="92"/>
  <c r="Z28" i="92" s="1"/>
  <c r="N28" i="92"/>
  <c r="L28" i="92"/>
  <c r="J28" i="92"/>
  <c r="F28" i="92"/>
  <c r="B28" i="92"/>
  <c r="X27" i="92"/>
  <c r="Z27" i="92" s="1"/>
  <c r="N27" i="92"/>
  <c r="L27" i="92"/>
  <c r="B27" i="92"/>
  <c r="T26" i="92"/>
  <c r="P26" i="92"/>
  <c r="X26" i="92" s="1"/>
  <c r="Z26" i="92" s="1"/>
  <c r="L26" i="92"/>
  <c r="J26" i="92"/>
  <c r="H26" i="92"/>
  <c r="D26" i="92"/>
  <c r="B26" i="92"/>
  <c r="T25" i="92"/>
  <c r="X25" i="92" s="1"/>
  <c r="P25" i="92"/>
  <c r="L25" i="92"/>
  <c r="H25" i="92"/>
  <c r="D25" i="92"/>
  <c r="T23" i="92"/>
  <c r="Z21" i="92"/>
  <c r="X21" i="92"/>
  <c r="R21" i="92"/>
  <c r="N21" i="92"/>
  <c r="L21" i="92"/>
  <c r="J21" i="92"/>
  <c r="F21" i="92"/>
  <c r="B21" i="92"/>
  <c r="Z20" i="92"/>
  <c r="X20" i="92"/>
  <c r="N20" i="92"/>
  <c r="L20" i="92"/>
  <c r="J20" i="92"/>
  <c r="B20" i="92"/>
  <c r="X19" i="92"/>
  <c r="Z19" i="92" s="1"/>
  <c r="R19" i="92"/>
  <c r="L19" i="92"/>
  <c r="N19" i="92" s="1"/>
  <c r="J19" i="92"/>
  <c r="B19" i="92"/>
  <c r="X18" i="92"/>
  <c r="T18" i="92"/>
  <c r="R18" i="92"/>
  <c r="P18" i="92"/>
  <c r="H18" i="92"/>
  <c r="D18" i="92"/>
  <c r="Z16" i="92"/>
  <c r="X16" i="92"/>
  <c r="P16" i="92"/>
  <c r="N16" i="92"/>
  <c r="L16" i="92"/>
  <c r="D16" i="92"/>
  <c r="B16" i="92"/>
  <c r="Z15" i="92"/>
  <c r="X15" i="92"/>
  <c r="P15" i="92"/>
  <c r="N15" i="92"/>
  <c r="D15" i="92"/>
  <c r="L15" i="92" s="1"/>
  <c r="B15" i="92"/>
  <c r="P14" i="92"/>
  <c r="P12" i="92" s="1"/>
  <c r="R53" i="92" s="1"/>
  <c r="L14" i="92"/>
  <c r="N14" i="92" s="1"/>
  <c r="D14" i="92"/>
  <c r="B14" i="92"/>
  <c r="Z13" i="92"/>
  <c r="X13" i="92"/>
  <c r="P13" i="92"/>
  <c r="N13" i="92"/>
  <c r="L13" i="92"/>
  <c r="D13" i="92"/>
  <c r="D12" i="92" s="1"/>
  <c r="F57" i="92" s="1"/>
  <c r="B13" i="92"/>
  <c r="T12" i="92"/>
  <c r="V75" i="92" s="1"/>
  <c r="L12" i="92"/>
  <c r="N12" i="92" s="1"/>
  <c r="H12" i="92"/>
  <c r="D6" i="92"/>
  <c r="D4" i="92"/>
  <c r="V62" i="91"/>
  <c r="Z60" i="91"/>
  <c r="X60" i="91"/>
  <c r="N60" i="91"/>
  <c r="L60" i="91"/>
  <c r="F60" i="91"/>
  <c r="F58" i="91"/>
  <c r="T56" i="91"/>
  <c r="Z56" i="91" s="1"/>
  <c r="P56" i="91"/>
  <c r="X56" i="91" s="1"/>
  <c r="N56" i="91"/>
  <c r="H56" i="91"/>
  <c r="F56" i="91"/>
  <c r="D56" i="91"/>
  <c r="L56" i="91" s="1"/>
  <c r="Z54" i="91"/>
  <c r="X54" i="91"/>
  <c r="V54" i="91"/>
  <c r="L54" i="91"/>
  <c r="N54" i="91" s="1"/>
  <c r="B54" i="91"/>
  <c r="V53" i="91"/>
  <c r="T53" i="91"/>
  <c r="P53" i="91"/>
  <c r="X53" i="91" s="1"/>
  <c r="H53" i="91"/>
  <c r="D53" i="91"/>
  <c r="L53" i="91" s="1"/>
  <c r="N53" i="91" s="1"/>
  <c r="B53" i="91"/>
  <c r="X52" i="91"/>
  <c r="Z52" i="91" s="1"/>
  <c r="N52" i="91"/>
  <c r="L52" i="91"/>
  <c r="F52" i="91"/>
  <c r="B52" i="91"/>
  <c r="T51" i="91"/>
  <c r="P51" i="91"/>
  <c r="L51" i="91"/>
  <c r="H51" i="91"/>
  <c r="D51" i="91"/>
  <c r="B51" i="91"/>
  <c r="Z50" i="91"/>
  <c r="X50" i="91"/>
  <c r="V50" i="91"/>
  <c r="N50" i="91"/>
  <c r="L50" i="91"/>
  <c r="F50" i="91"/>
  <c r="B50" i="91"/>
  <c r="X49" i="91"/>
  <c r="Z49" i="91" s="1"/>
  <c r="L49" i="91"/>
  <c r="N49" i="91" s="1"/>
  <c r="B49" i="91"/>
  <c r="Z48" i="91"/>
  <c r="X48" i="91"/>
  <c r="T48" i="91"/>
  <c r="P48" i="91"/>
  <c r="H48" i="91"/>
  <c r="L48" i="91" s="1"/>
  <c r="D48" i="91"/>
  <c r="B48" i="91"/>
  <c r="Z47" i="91"/>
  <c r="X47" i="91"/>
  <c r="V47" i="91"/>
  <c r="L47" i="91"/>
  <c r="N47" i="91" s="1"/>
  <c r="F47" i="91"/>
  <c r="B47" i="91"/>
  <c r="Z46" i="91"/>
  <c r="X46" i="91"/>
  <c r="L46" i="91"/>
  <c r="N46" i="91" s="1"/>
  <c r="B46" i="91"/>
  <c r="X45" i="91"/>
  <c r="Z45" i="91" s="1"/>
  <c r="V45" i="91"/>
  <c r="L45" i="91"/>
  <c r="N45" i="91" s="1"/>
  <c r="J45" i="91"/>
  <c r="B45" i="91"/>
  <c r="T44" i="91"/>
  <c r="P44" i="91"/>
  <c r="X44" i="91" s="1"/>
  <c r="Z44" i="91" s="1"/>
  <c r="H44" i="91"/>
  <c r="D44" i="91"/>
  <c r="B44" i="91"/>
  <c r="X43" i="91"/>
  <c r="Z43" i="91" s="1"/>
  <c r="N43" i="91"/>
  <c r="L43" i="91"/>
  <c r="B43" i="91"/>
  <c r="X42" i="91"/>
  <c r="Z42" i="91" s="1"/>
  <c r="V42" i="91"/>
  <c r="T42" i="91"/>
  <c r="P42" i="91"/>
  <c r="N42" i="91"/>
  <c r="L42" i="91"/>
  <c r="H42" i="91"/>
  <c r="D42" i="91"/>
  <c r="B42" i="91"/>
  <c r="Z41" i="91"/>
  <c r="X41" i="91"/>
  <c r="R41" i="91"/>
  <c r="N41" i="91"/>
  <c r="L41" i="91"/>
  <c r="F41" i="91"/>
  <c r="B41" i="91"/>
  <c r="X40" i="91"/>
  <c r="T40" i="91"/>
  <c r="Z40" i="91" s="1"/>
  <c r="P40" i="91"/>
  <c r="N40" i="91"/>
  <c r="H40" i="91"/>
  <c r="L40" i="91" s="1"/>
  <c r="D40" i="91"/>
  <c r="B40" i="91"/>
  <c r="Z39" i="91"/>
  <c r="X39" i="91"/>
  <c r="N39" i="91"/>
  <c r="L39" i="91"/>
  <c r="F39" i="91"/>
  <c r="B39" i="91"/>
  <c r="Z38" i="91"/>
  <c r="X38" i="91"/>
  <c r="V38" i="91"/>
  <c r="R38" i="91"/>
  <c r="N38" i="91"/>
  <c r="L38" i="91"/>
  <c r="B38" i="91"/>
  <c r="Z37" i="91"/>
  <c r="X37" i="91"/>
  <c r="V37" i="91"/>
  <c r="N37" i="91"/>
  <c r="L37" i="91"/>
  <c r="B37" i="91"/>
  <c r="Z36" i="91"/>
  <c r="X36" i="91"/>
  <c r="N36" i="91"/>
  <c r="L36" i="91"/>
  <c r="B36" i="91"/>
  <c r="Z35" i="91"/>
  <c r="X35" i="91"/>
  <c r="V35" i="91"/>
  <c r="N35" i="91"/>
  <c r="L35" i="91"/>
  <c r="B35" i="91"/>
  <c r="Z34" i="91"/>
  <c r="X34" i="91"/>
  <c r="V34" i="91"/>
  <c r="N34" i="91"/>
  <c r="L34" i="91"/>
  <c r="B34" i="91"/>
  <c r="Z33" i="91"/>
  <c r="X33" i="91"/>
  <c r="N33" i="91"/>
  <c r="L33" i="91"/>
  <c r="B33" i="91"/>
  <c r="Z32" i="91"/>
  <c r="X32" i="91"/>
  <c r="V32" i="91"/>
  <c r="N32" i="91"/>
  <c r="L32" i="91"/>
  <c r="B32" i="91"/>
  <c r="X31" i="91"/>
  <c r="Z31" i="91" s="1"/>
  <c r="V31" i="91"/>
  <c r="L31" i="91"/>
  <c r="N31" i="91" s="1"/>
  <c r="F31" i="91"/>
  <c r="B31" i="91"/>
  <c r="Z30" i="91"/>
  <c r="X30" i="91"/>
  <c r="N30" i="91"/>
  <c r="L30" i="91"/>
  <c r="B30" i="91"/>
  <c r="X29" i="91"/>
  <c r="Z29" i="91" s="1"/>
  <c r="V29" i="91"/>
  <c r="T29" i="91"/>
  <c r="P29" i="91"/>
  <c r="H29" i="91"/>
  <c r="D29" i="91"/>
  <c r="L29" i="91" s="1"/>
  <c r="N29" i="91" s="1"/>
  <c r="B29" i="91"/>
  <c r="Z28" i="91"/>
  <c r="X28" i="91"/>
  <c r="V28" i="91"/>
  <c r="N28" i="91"/>
  <c r="L28" i="91"/>
  <c r="B28" i="91"/>
  <c r="X27" i="91"/>
  <c r="Z27" i="91" s="1"/>
  <c r="N27" i="91"/>
  <c r="L27" i="91"/>
  <c r="B27" i="91"/>
  <c r="Z26" i="91"/>
  <c r="X26" i="91"/>
  <c r="N26" i="91"/>
  <c r="L26" i="91"/>
  <c r="B26" i="91"/>
  <c r="Z25" i="91"/>
  <c r="X25" i="91"/>
  <c r="N25" i="91"/>
  <c r="L25" i="91"/>
  <c r="B25" i="91"/>
  <c r="Z24" i="91"/>
  <c r="X24" i="91"/>
  <c r="V24" i="91"/>
  <c r="N24" i="91"/>
  <c r="L24" i="91"/>
  <c r="F24" i="91"/>
  <c r="B24" i="91"/>
  <c r="X23" i="91"/>
  <c r="Z23" i="91" s="1"/>
  <c r="N23" i="91"/>
  <c r="L23" i="91"/>
  <c r="F23" i="91"/>
  <c r="B23" i="91"/>
  <c r="X22" i="91"/>
  <c r="Z22" i="91" s="1"/>
  <c r="V22" i="91"/>
  <c r="L22" i="91"/>
  <c r="N22" i="91" s="1"/>
  <c r="F22" i="91"/>
  <c r="B22" i="91"/>
  <c r="X21" i="91"/>
  <c r="Z21" i="91" s="1"/>
  <c r="V21" i="91"/>
  <c r="N21" i="91"/>
  <c r="L21" i="91"/>
  <c r="B21" i="91"/>
  <c r="X20" i="91"/>
  <c r="Z20" i="91" s="1"/>
  <c r="N20" i="91"/>
  <c r="L20" i="91"/>
  <c r="F20" i="91"/>
  <c r="B20" i="91"/>
  <c r="T19" i="91"/>
  <c r="Z19" i="91" s="1"/>
  <c r="P19" i="91"/>
  <c r="X19" i="91" s="1"/>
  <c r="L19" i="91"/>
  <c r="N19" i="91" s="1"/>
  <c r="H19" i="91"/>
  <c r="F19" i="91"/>
  <c r="D19" i="91"/>
  <c r="B19" i="91"/>
  <c r="T18" i="91"/>
  <c r="P18" i="91"/>
  <c r="H18" i="91"/>
  <c r="F18" i="91"/>
  <c r="D18" i="91"/>
  <c r="T16" i="91"/>
  <c r="F16" i="91"/>
  <c r="T14" i="91"/>
  <c r="Z14" i="91" s="1"/>
  <c r="P14" i="91"/>
  <c r="X14" i="91" s="1"/>
  <c r="N14" i="91"/>
  <c r="H14" i="91"/>
  <c r="L14" i="91" s="1"/>
  <c r="F14" i="91"/>
  <c r="D14" i="91"/>
  <c r="T12" i="91"/>
  <c r="V58" i="91" s="1"/>
  <c r="P12" i="91"/>
  <c r="L12" i="91"/>
  <c r="H12" i="91"/>
  <c r="J41" i="91" s="1"/>
  <c r="D12" i="91"/>
  <c r="F40" i="91" s="1"/>
  <c r="D6" i="91"/>
  <c r="D4" i="91"/>
  <c r="J44" i="90"/>
  <c r="Z42" i="90"/>
  <c r="X42" i="90"/>
  <c r="N42" i="90"/>
  <c r="L42" i="90"/>
  <c r="Z38" i="90"/>
  <c r="T38" i="90"/>
  <c r="X38" i="90" s="1"/>
  <c r="P38" i="90"/>
  <c r="H38" i="90"/>
  <c r="N38" i="90" s="1"/>
  <c r="D38" i="90"/>
  <c r="Z36" i="90"/>
  <c r="X36" i="90"/>
  <c r="R36" i="90"/>
  <c r="N36" i="90"/>
  <c r="L36" i="90"/>
  <c r="B36" i="90"/>
  <c r="Z35" i="90"/>
  <c r="V35" i="90"/>
  <c r="T35" i="90"/>
  <c r="X35" i="90" s="1"/>
  <c r="P35" i="90"/>
  <c r="N35" i="90"/>
  <c r="L35" i="90"/>
  <c r="H35" i="90"/>
  <c r="D35" i="90"/>
  <c r="B35" i="90"/>
  <c r="Z34" i="90"/>
  <c r="X34" i="90"/>
  <c r="V34" i="90"/>
  <c r="N34" i="90"/>
  <c r="L34" i="90"/>
  <c r="B34" i="90"/>
  <c r="Z33" i="90"/>
  <c r="X33" i="90"/>
  <c r="V33" i="90"/>
  <c r="N33" i="90"/>
  <c r="L33" i="90"/>
  <c r="B33" i="90"/>
  <c r="Z32" i="90"/>
  <c r="T32" i="90"/>
  <c r="P32" i="90"/>
  <c r="X32" i="90" s="1"/>
  <c r="H32" i="90"/>
  <c r="N32" i="90" s="1"/>
  <c r="D32" i="90"/>
  <c r="L32" i="90" s="1"/>
  <c r="B32" i="90"/>
  <c r="Z31" i="90"/>
  <c r="X31" i="90"/>
  <c r="N31" i="90"/>
  <c r="L31" i="90"/>
  <c r="J31" i="90"/>
  <c r="F31" i="90"/>
  <c r="B31" i="90"/>
  <c r="Z30" i="90"/>
  <c r="X30" i="90"/>
  <c r="V30" i="90"/>
  <c r="T30" i="90"/>
  <c r="P30" i="90"/>
  <c r="H30" i="90"/>
  <c r="F30" i="90"/>
  <c r="D30" i="90"/>
  <c r="B30" i="90"/>
  <c r="Z29" i="90"/>
  <c r="X29" i="90"/>
  <c r="L29" i="90"/>
  <c r="N29" i="90" s="1"/>
  <c r="B29" i="90"/>
  <c r="Z28" i="90"/>
  <c r="X28" i="90"/>
  <c r="T28" i="90"/>
  <c r="R28" i="90"/>
  <c r="P28" i="90"/>
  <c r="H28" i="90"/>
  <c r="D28" i="90"/>
  <c r="L28" i="90" s="1"/>
  <c r="B28" i="90"/>
  <c r="Z27" i="90"/>
  <c r="X27" i="90"/>
  <c r="V27" i="90"/>
  <c r="N27" i="90"/>
  <c r="L27" i="90"/>
  <c r="B27" i="90"/>
  <c r="V26" i="90"/>
  <c r="T26" i="90"/>
  <c r="Z26" i="90" s="1"/>
  <c r="P26" i="90"/>
  <c r="X26" i="90" s="1"/>
  <c r="N26" i="90"/>
  <c r="H26" i="90"/>
  <c r="D26" i="90"/>
  <c r="L26" i="90" s="1"/>
  <c r="B26" i="90"/>
  <c r="Z25" i="90"/>
  <c r="X25" i="90"/>
  <c r="V25" i="90"/>
  <c r="N25" i="90"/>
  <c r="L25" i="90"/>
  <c r="B25" i="90"/>
  <c r="Z24" i="90"/>
  <c r="X24" i="90"/>
  <c r="R24" i="90"/>
  <c r="N24" i="90"/>
  <c r="L24" i="90"/>
  <c r="B24" i="90"/>
  <c r="Z23" i="90"/>
  <c r="X23" i="90"/>
  <c r="N23" i="90"/>
  <c r="L23" i="90"/>
  <c r="B23" i="90"/>
  <c r="Z22" i="90"/>
  <c r="X22" i="90"/>
  <c r="V22" i="90"/>
  <c r="N22" i="90"/>
  <c r="L22" i="90"/>
  <c r="B22" i="90"/>
  <c r="Z21" i="90"/>
  <c r="X21" i="90"/>
  <c r="V21" i="90"/>
  <c r="N21" i="90"/>
  <c r="L21" i="90"/>
  <c r="B21" i="90"/>
  <c r="X20" i="90"/>
  <c r="T20" i="90"/>
  <c r="Z20" i="90" s="1"/>
  <c r="P20" i="90"/>
  <c r="L20" i="90"/>
  <c r="H20" i="90"/>
  <c r="N20" i="90" s="1"/>
  <c r="D20" i="90"/>
  <c r="B20" i="90"/>
  <c r="V19" i="90"/>
  <c r="T19" i="90"/>
  <c r="R19" i="90"/>
  <c r="P19" i="90"/>
  <c r="L19" i="90"/>
  <c r="N19" i="90" s="1"/>
  <c r="H19" i="90"/>
  <c r="D19" i="90"/>
  <c r="V17" i="90"/>
  <c r="T17" i="90"/>
  <c r="Z15" i="90"/>
  <c r="X15" i="90"/>
  <c r="V15" i="90"/>
  <c r="N15" i="90"/>
  <c r="L15" i="90"/>
  <c r="B15" i="90"/>
  <c r="T14" i="90"/>
  <c r="Z14" i="90" s="1"/>
  <c r="P14" i="90"/>
  <c r="X14" i="90" s="1"/>
  <c r="N14" i="90"/>
  <c r="L14" i="90"/>
  <c r="H14" i="90"/>
  <c r="D14" i="90"/>
  <c r="T12" i="90"/>
  <c r="V29" i="90" s="1"/>
  <c r="P12" i="90"/>
  <c r="R40" i="90" s="1"/>
  <c r="H12" i="90"/>
  <c r="J23" i="90" s="1"/>
  <c r="D12" i="90"/>
  <c r="F15" i="90" s="1"/>
  <c r="D6" i="90"/>
  <c r="D4" i="90"/>
  <c r="J37" i="89"/>
  <c r="J34" i="89"/>
  <c r="D34" i="89"/>
  <c r="D37" i="89" s="1"/>
  <c r="Z32" i="89"/>
  <c r="X32" i="89"/>
  <c r="N32" i="89"/>
  <c r="L32" i="89"/>
  <c r="R30" i="89"/>
  <c r="T28" i="89"/>
  <c r="R28" i="89"/>
  <c r="P28" i="89"/>
  <c r="H28" i="89"/>
  <c r="N28" i="89" s="1"/>
  <c r="D28" i="89"/>
  <c r="L28" i="89" s="1"/>
  <c r="Z26" i="89"/>
  <c r="X26" i="89"/>
  <c r="R26" i="89"/>
  <c r="N26" i="89"/>
  <c r="L26" i="89"/>
  <c r="B26" i="89"/>
  <c r="Z25" i="89"/>
  <c r="V25" i="89"/>
  <c r="T25" i="89"/>
  <c r="R25" i="89"/>
  <c r="P25" i="89"/>
  <c r="X25" i="89" s="1"/>
  <c r="N25" i="89"/>
  <c r="L25" i="89"/>
  <c r="H25" i="89"/>
  <c r="D25" i="89"/>
  <c r="B25" i="89"/>
  <c r="Z24" i="89"/>
  <c r="X24" i="89"/>
  <c r="V24" i="89"/>
  <c r="R24" i="89"/>
  <c r="N24" i="89"/>
  <c r="L24" i="89"/>
  <c r="J24" i="89"/>
  <c r="B24" i="89"/>
  <c r="V23" i="89"/>
  <c r="T23" i="89"/>
  <c r="Z23" i="89" s="1"/>
  <c r="R23" i="89"/>
  <c r="P23" i="89"/>
  <c r="X23" i="89" s="1"/>
  <c r="J23" i="89"/>
  <c r="H23" i="89"/>
  <c r="N23" i="89" s="1"/>
  <c r="D23" i="89"/>
  <c r="B23" i="89"/>
  <c r="Z22" i="89"/>
  <c r="X22" i="89"/>
  <c r="R22" i="89"/>
  <c r="N22" i="89"/>
  <c r="L22" i="89"/>
  <c r="F22" i="89"/>
  <c r="B22" i="89"/>
  <c r="T21" i="89"/>
  <c r="Z21" i="89" s="1"/>
  <c r="R21" i="89"/>
  <c r="P21" i="89"/>
  <c r="N21" i="89"/>
  <c r="J21" i="89"/>
  <c r="H21" i="89"/>
  <c r="F21" i="89"/>
  <c r="D21" i="89"/>
  <c r="L21" i="89" s="1"/>
  <c r="B21" i="89"/>
  <c r="Z20" i="89"/>
  <c r="X20" i="89"/>
  <c r="V20" i="89"/>
  <c r="R20" i="89"/>
  <c r="L20" i="89"/>
  <c r="N20" i="89" s="1"/>
  <c r="J20" i="89"/>
  <c r="B20" i="89"/>
  <c r="X19" i="89"/>
  <c r="Z19" i="89" s="1"/>
  <c r="T19" i="89"/>
  <c r="P19" i="89"/>
  <c r="N19" i="89"/>
  <c r="J19" i="89"/>
  <c r="H19" i="89"/>
  <c r="F19" i="89"/>
  <c r="D19" i="89"/>
  <c r="L19" i="89" s="1"/>
  <c r="B19" i="89"/>
  <c r="T18" i="89"/>
  <c r="R18" i="89"/>
  <c r="P18" i="89"/>
  <c r="X18" i="89" s="1"/>
  <c r="Z18" i="89" s="1"/>
  <c r="J18" i="89"/>
  <c r="H18" i="89"/>
  <c r="D18" i="89"/>
  <c r="R16" i="89"/>
  <c r="J16" i="89"/>
  <c r="Z14" i="89"/>
  <c r="T14" i="89"/>
  <c r="R14" i="89"/>
  <c r="P14" i="89"/>
  <c r="X14" i="89" s="1"/>
  <c r="J14" i="89"/>
  <c r="H14" i="89"/>
  <c r="D14" i="89"/>
  <c r="D16" i="89" s="1"/>
  <c r="D30" i="89" s="1"/>
  <c r="Z12" i="89"/>
  <c r="T12" i="89"/>
  <c r="V19" i="89" s="1"/>
  <c r="P12" i="89"/>
  <c r="X12" i="89" s="1"/>
  <c r="N12" i="89"/>
  <c r="L12" i="89"/>
  <c r="H12" i="89"/>
  <c r="J25" i="89" s="1"/>
  <c r="D12" i="89"/>
  <c r="D6" i="89"/>
  <c r="D4" i="89"/>
  <c r="V63" i="88"/>
  <c r="V60" i="88"/>
  <c r="F60" i="88"/>
  <c r="Z58" i="88"/>
  <c r="X58" i="88"/>
  <c r="V58" i="88"/>
  <c r="N58" i="88"/>
  <c r="L58" i="88"/>
  <c r="V56" i="88"/>
  <c r="X54" i="88"/>
  <c r="Z54" i="88" s="1"/>
  <c r="V54" i="88"/>
  <c r="P54" i="88"/>
  <c r="L54" i="88"/>
  <c r="N54" i="88" s="1"/>
  <c r="D54" i="88"/>
  <c r="B54" i="88"/>
  <c r="P53" i="88"/>
  <c r="X53" i="88" s="1"/>
  <c r="Z53" i="88" s="1"/>
  <c r="L53" i="88"/>
  <c r="N53" i="88" s="1"/>
  <c r="J53" i="88"/>
  <c r="D53" i="88"/>
  <c r="B53" i="88"/>
  <c r="P52" i="88"/>
  <c r="X52" i="88" s="1"/>
  <c r="Z52" i="88" s="1"/>
  <c r="J52" i="88"/>
  <c r="D52" i="88"/>
  <c r="L52" i="88" s="1"/>
  <c r="N52" i="88" s="1"/>
  <c r="B52" i="88"/>
  <c r="T51" i="88"/>
  <c r="H51" i="88"/>
  <c r="N51" i="88" s="1"/>
  <c r="D51" i="88"/>
  <c r="L51" i="88" s="1"/>
  <c r="Z49" i="88"/>
  <c r="X49" i="88"/>
  <c r="V49" i="88"/>
  <c r="N49" i="88"/>
  <c r="L49" i="88"/>
  <c r="J49" i="88"/>
  <c r="B49" i="88"/>
  <c r="Z48" i="88"/>
  <c r="T48" i="88"/>
  <c r="P48" i="88"/>
  <c r="X48" i="88" s="1"/>
  <c r="J48" i="88"/>
  <c r="H48" i="88"/>
  <c r="N48" i="88" s="1"/>
  <c r="D48" i="88"/>
  <c r="B48" i="88"/>
  <c r="X47" i="88"/>
  <c r="Z47" i="88" s="1"/>
  <c r="N47" i="88"/>
  <c r="L47" i="88"/>
  <c r="J47" i="88"/>
  <c r="F47" i="88"/>
  <c r="B47" i="88"/>
  <c r="X46" i="88"/>
  <c r="T46" i="88"/>
  <c r="Z46" i="88" s="1"/>
  <c r="P46" i="88"/>
  <c r="H46" i="88"/>
  <c r="F46" i="88"/>
  <c r="D46" i="88"/>
  <c r="B46" i="88"/>
  <c r="Z45" i="88"/>
  <c r="X45" i="88"/>
  <c r="L45" i="88"/>
  <c r="N45" i="88" s="1"/>
  <c r="J45" i="88"/>
  <c r="B45" i="88"/>
  <c r="Z44" i="88"/>
  <c r="X44" i="88"/>
  <c r="T44" i="88"/>
  <c r="P44" i="88"/>
  <c r="H44" i="88"/>
  <c r="D44" i="88"/>
  <c r="L44" i="88" s="1"/>
  <c r="B44" i="88"/>
  <c r="Z43" i="88"/>
  <c r="X43" i="88"/>
  <c r="N43" i="88"/>
  <c r="L43" i="88"/>
  <c r="B43" i="88"/>
  <c r="Z42" i="88"/>
  <c r="X42" i="88"/>
  <c r="N42" i="88"/>
  <c r="L42" i="88"/>
  <c r="B42" i="88"/>
  <c r="Z41" i="88"/>
  <c r="V41" i="88"/>
  <c r="T41" i="88"/>
  <c r="P41" i="88"/>
  <c r="X41" i="88" s="1"/>
  <c r="J41" i="88"/>
  <c r="H41" i="88"/>
  <c r="N41" i="88" s="1"/>
  <c r="D41" i="88"/>
  <c r="L41" i="88" s="1"/>
  <c r="B41" i="88"/>
  <c r="X40" i="88"/>
  <c r="Z40" i="88" s="1"/>
  <c r="N40" i="88"/>
  <c r="L40" i="88"/>
  <c r="F40" i="88"/>
  <c r="B40" i="88"/>
  <c r="X39" i="88"/>
  <c r="T39" i="88"/>
  <c r="Z39" i="88" s="1"/>
  <c r="P39" i="88"/>
  <c r="N39" i="88"/>
  <c r="L39" i="88"/>
  <c r="H39" i="88"/>
  <c r="D39" i="88"/>
  <c r="B39" i="88"/>
  <c r="Z38" i="88"/>
  <c r="X38" i="88"/>
  <c r="N38" i="88"/>
  <c r="L38" i="88"/>
  <c r="J38" i="88"/>
  <c r="F38" i="88"/>
  <c r="B38" i="88"/>
  <c r="Z37" i="88"/>
  <c r="X37" i="88"/>
  <c r="N37" i="88"/>
  <c r="L37" i="88"/>
  <c r="J37" i="88"/>
  <c r="B37" i="88"/>
  <c r="Z36" i="88"/>
  <c r="X36" i="88"/>
  <c r="N36" i="88"/>
  <c r="L36" i="88"/>
  <c r="B36" i="88"/>
  <c r="Z35" i="88"/>
  <c r="X35" i="88"/>
  <c r="V35" i="88"/>
  <c r="N35" i="88"/>
  <c r="L35" i="88"/>
  <c r="J35" i="88"/>
  <c r="B35" i="88"/>
  <c r="Z34" i="88"/>
  <c r="X34" i="88"/>
  <c r="N34" i="88"/>
  <c r="L34" i="88"/>
  <c r="J34" i="88"/>
  <c r="F34" i="88"/>
  <c r="B34" i="88"/>
  <c r="Z33" i="88"/>
  <c r="X33" i="88"/>
  <c r="N33" i="88"/>
  <c r="L33" i="88"/>
  <c r="J33" i="88"/>
  <c r="B33" i="88"/>
  <c r="Z32" i="88"/>
  <c r="X32" i="88"/>
  <c r="N32" i="88"/>
  <c r="L32" i="88"/>
  <c r="B32" i="88"/>
  <c r="Z31" i="88"/>
  <c r="X31" i="88"/>
  <c r="R31" i="88"/>
  <c r="N31" i="88"/>
  <c r="L31" i="88"/>
  <c r="B31" i="88"/>
  <c r="Z30" i="88"/>
  <c r="X30" i="88"/>
  <c r="N30" i="88"/>
  <c r="L30" i="88"/>
  <c r="J30" i="88"/>
  <c r="F30" i="88"/>
  <c r="B30" i="88"/>
  <c r="X29" i="88"/>
  <c r="Z29" i="88" s="1"/>
  <c r="L29" i="88"/>
  <c r="N29" i="88" s="1"/>
  <c r="J29" i="88"/>
  <c r="B29" i="88"/>
  <c r="X28" i="88"/>
  <c r="Z28" i="88" s="1"/>
  <c r="T28" i="88"/>
  <c r="P28" i="88"/>
  <c r="N28" i="88"/>
  <c r="H28" i="88"/>
  <c r="D28" i="88"/>
  <c r="L28" i="88" s="1"/>
  <c r="B28" i="88"/>
  <c r="Z27" i="88"/>
  <c r="X27" i="88"/>
  <c r="V27" i="88"/>
  <c r="N27" i="88"/>
  <c r="L27" i="88"/>
  <c r="F27" i="88"/>
  <c r="B27" i="88"/>
  <c r="X26" i="88"/>
  <c r="Z26" i="88" s="1"/>
  <c r="L26" i="88"/>
  <c r="N26" i="88" s="1"/>
  <c r="J26" i="88"/>
  <c r="B26" i="88"/>
  <c r="Z25" i="88"/>
  <c r="X25" i="88"/>
  <c r="V25" i="88"/>
  <c r="N25" i="88"/>
  <c r="L25" i="88"/>
  <c r="B25" i="88"/>
  <c r="Z24" i="88"/>
  <c r="X24" i="88"/>
  <c r="V24" i="88"/>
  <c r="N24" i="88"/>
  <c r="L24" i="88"/>
  <c r="B24" i="88"/>
  <c r="Z23" i="88"/>
  <c r="X23" i="88"/>
  <c r="L23" i="88"/>
  <c r="N23" i="88" s="1"/>
  <c r="F23" i="88"/>
  <c r="B23" i="88"/>
  <c r="X22" i="88"/>
  <c r="Z22" i="88" s="1"/>
  <c r="V22" i="88"/>
  <c r="L22" i="88"/>
  <c r="N22" i="88" s="1"/>
  <c r="J22" i="88"/>
  <c r="B22" i="88"/>
  <c r="X21" i="88"/>
  <c r="Z21" i="88" s="1"/>
  <c r="V21" i="88"/>
  <c r="N21" i="88"/>
  <c r="L21" i="88"/>
  <c r="J21" i="88"/>
  <c r="F21" i="88"/>
  <c r="B21" i="88"/>
  <c r="Z20" i="88"/>
  <c r="X20" i="88"/>
  <c r="V20" i="88"/>
  <c r="N20" i="88"/>
  <c r="L20" i="88"/>
  <c r="F20" i="88"/>
  <c r="B20" i="88"/>
  <c r="X19" i="88"/>
  <c r="Z19" i="88" s="1"/>
  <c r="V19" i="88"/>
  <c r="T19" i="88"/>
  <c r="R19" i="88"/>
  <c r="P19" i="88"/>
  <c r="J19" i="88"/>
  <c r="H19" i="88"/>
  <c r="F19" i="88"/>
  <c r="D19" i="88"/>
  <c r="L19" i="88" s="1"/>
  <c r="N19" i="88" s="1"/>
  <c r="B19" i="88"/>
  <c r="T18" i="88"/>
  <c r="P18" i="88"/>
  <c r="X18" i="88" s="1"/>
  <c r="J18" i="88"/>
  <c r="H18" i="88"/>
  <c r="F18" i="88"/>
  <c r="D18" i="88"/>
  <c r="L18" i="88" s="1"/>
  <c r="T16" i="88"/>
  <c r="J16" i="88"/>
  <c r="F16" i="88"/>
  <c r="Z14" i="88"/>
  <c r="T14" i="88"/>
  <c r="P14" i="88"/>
  <c r="X14" i="88" s="1"/>
  <c r="J14" i="88"/>
  <c r="H14" i="88"/>
  <c r="N14" i="88" s="1"/>
  <c r="F14" i="88"/>
  <c r="D14" i="88"/>
  <c r="L14" i="88" s="1"/>
  <c r="Z12" i="88"/>
  <c r="X12" i="88"/>
  <c r="T12" i="88"/>
  <c r="P12" i="88"/>
  <c r="R36" i="88" s="1"/>
  <c r="N12" i="88"/>
  <c r="L12" i="88"/>
  <c r="H12" i="88"/>
  <c r="J51" i="88" s="1"/>
  <c r="D12" i="88"/>
  <c r="F39" i="88" s="1"/>
  <c r="D6" i="88"/>
  <c r="D4" i="88"/>
  <c r="V34" i="87"/>
  <c r="V31" i="87"/>
  <c r="Z29" i="87"/>
  <c r="X29" i="87"/>
  <c r="V29" i="87"/>
  <c r="R29" i="87"/>
  <c r="N29" i="87"/>
  <c r="L29" i="87"/>
  <c r="F29" i="87"/>
  <c r="T25" i="87"/>
  <c r="Z25" i="87" s="1"/>
  <c r="P25" i="87"/>
  <c r="X25" i="87" s="1"/>
  <c r="N25" i="87"/>
  <c r="H25" i="87"/>
  <c r="D25" i="87"/>
  <c r="L25" i="87" s="1"/>
  <c r="Z23" i="87"/>
  <c r="X23" i="87"/>
  <c r="N23" i="87"/>
  <c r="L23" i="87"/>
  <c r="J23" i="87"/>
  <c r="B23" i="87"/>
  <c r="Z22" i="87"/>
  <c r="X22" i="87"/>
  <c r="V22" i="87"/>
  <c r="T22" i="87"/>
  <c r="P22" i="87"/>
  <c r="H22" i="87"/>
  <c r="D22" i="87"/>
  <c r="B22" i="87"/>
  <c r="Z21" i="87"/>
  <c r="X21" i="87"/>
  <c r="N21" i="87"/>
  <c r="L21" i="87"/>
  <c r="B21" i="87"/>
  <c r="V20" i="87"/>
  <c r="T20" i="87"/>
  <c r="X20" i="87" s="1"/>
  <c r="P20" i="87"/>
  <c r="H20" i="87"/>
  <c r="N20" i="87" s="1"/>
  <c r="D20" i="87"/>
  <c r="L20" i="87" s="1"/>
  <c r="B20" i="87"/>
  <c r="V19" i="87"/>
  <c r="T19" i="87"/>
  <c r="P19" i="87"/>
  <c r="H19" i="87"/>
  <c r="N19" i="87" s="1"/>
  <c r="D19" i="87"/>
  <c r="L19" i="87" s="1"/>
  <c r="V17" i="87"/>
  <c r="V15" i="87"/>
  <c r="T15" i="87"/>
  <c r="P15" i="87"/>
  <c r="H15" i="87"/>
  <c r="N15" i="87" s="1"/>
  <c r="D15" i="87"/>
  <c r="L15" i="87" s="1"/>
  <c r="Z13" i="87"/>
  <c r="X13" i="87"/>
  <c r="P13" i="87"/>
  <c r="N13" i="87"/>
  <c r="D13" i="87"/>
  <c r="L13" i="87" s="1"/>
  <c r="B13" i="87"/>
  <c r="Z12" i="87"/>
  <c r="T12" i="87"/>
  <c r="V21" i="87" s="1"/>
  <c r="P12" i="87"/>
  <c r="N12" i="87"/>
  <c r="H12" i="87"/>
  <c r="D12" i="87"/>
  <c r="D6" i="87"/>
  <c r="D4" i="87"/>
  <c r="V93" i="86"/>
  <c r="V90" i="86"/>
  <c r="J90" i="86"/>
  <c r="Z88" i="86"/>
  <c r="X88" i="86"/>
  <c r="V88" i="86"/>
  <c r="N88" i="86"/>
  <c r="L88" i="86"/>
  <c r="J88" i="86"/>
  <c r="V86" i="86"/>
  <c r="Z84" i="86"/>
  <c r="X84" i="86"/>
  <c r="V84" i="86"/>
  <c r="P84" i="86"/>
  <c r="N84" i="86"/>
  <c r="D84" i="86"/>
  <c r="B84" i="86"/>
  <c r="X83" i="86"/>
  <c r="V83" i="86"/>
  <c r="T83" i="86"/>
  <c r="Z83" i="86" s="1"/>
  <c r="P83" i="86"/>
  <c r="H83" i="86"/>
  <c r="N83" i="86" s="1"/>
  <c r="Z81" i="86"/>
  <c r="X81" i="86"/>
  <c r="V81" i="86"/>
  <c r="R81" i="86"/>
  <c r="N81" i="86"/>
  <c r="L81" i="86"/>
  <c r="B81" i="86"/>
  <c r="Z80" i="86"/>
  <c r="X80" i="86"/>
  <c r="V80" i="86"/>
  <c r="T80" i="86"/>
  <c r="P80" i="86"/>
  <c r="N80" i="86"/>
  <c r="H80" i="86"/>
  <c r="D80" i="86"/>
  <c r="L80" i="86" s="1"/>
  <c r="B80" i="86"/>
  <c r="Z79" i="86"/>
  <c r="X79" i="86"/>
  <c r="N79" i="86"/>
  <c r="L79" i="86"/>
  <c r="B79" i="86"/>
  <c r="Z78" i="86"/>
  <c r="X78" i="86"/>
  <c r="N78" i="86"/>
  <c r="L78" i="86"/>
  <c r="J78" i="86"/>
  <c r="B78" i="86"/>
  <c r="T77" i="86"/>
  <c r="Z77" i="86" s="1"/>
  <c r="P77" i="86"/>
  <c r="X77" i="86" s="1"/>
  <c r="N77" i="86"/>
  <c r="H77" i="86"/>
  <c r="D77" i="86"/>
  <c r="L77" i="86" s="1"/>
  <c r="B77" i="86"/>
  <c r="Z76" i="86"/>
  <c r="X76" i="86"/>
  <c r="V76" i="86"/>
  <c r="N76" i="86"/>
  <c r="L76" i="86"/>
  <c r="J76" i="86"/>
  <c r="B76" i="86"/>
  <c r="Z75" i="86"/>
  <c r="X75" i="86"/>
  <c r="N75" i="86"/>
  <c r="L75" i="86"/>
  <c r="B75" i="86"/>
  <c r="Z74" i="86"/>
  <c r="X74" i="86"/>
  <c r="V74" i="86"/>
  <c r="R74" i="86"/>
  <c r="N74" i="86"/>
  <c r="L74" i="86"/>
  <c r="B74" i="86"/>
  <c r="Z73" i="86"/>
  <c r="X73" i="86"/>
  <c r="V73" i="86"/>
  <c r="N73" i="86"/>
  <c r="L73" i="86"/>
  <c r="J73" i="86"/>
  <c r="B73" i="86"/>
  <c r="Z72" i="86"/>
  <c r="X72" i="86"/>
  <c r="V72" i="86"/>
  <c r="N72" i="86"/>
  <c r="L72" i="86"/>
  <c r="B72" i="86"/>
  <c r="Z71" i="86"/>
  <c r="X71" i="86"/>
  <c r="N71" i="86"/>
  <c r="L71" i="86"/>
  <c r="B71" i="86"/>
  <c r="Z70" i="86"/>
  <c r="X70" i="86"/>
  <c r="V70" i="86"/>
  <c r="N70" i="86"/>
  <c r="L70" i="86"/>
  <c r="B70" i="86"/>
  <c r="Z69" i="86"/>
  <c r="X69" i="86"/>
  <c r="V69" i="86"/>
  <c r="N69" i="86"/>
  <c r="L69" i="86"/>
  <c r="J69" i="86"/>
  <c r="B69" i="86"/>
  <c r="Z68" i="86"/>
  <c r="X68" i="86"/>
  <c r="V68" i="86"/>
  <c r="N68" i="86"/>
  <c r="L68" i="86"/>
  <c r="J68" i="86"/>
  <c r="B68" i="86"/>
  <c r="Z67" i="86"/>
  <c r="X67" i="86"/>
  <c r="N67" i="86"/>
  <c r="L67" i="86"/>
  <c r="B67" i="86"/>
  <c r="V66" i="86"/>
  <c r="T66" i="86"/>
  <c r="X66" i="86" s="1"/>
  <c r="P66" i="86"/>
  <c r="J66" i="86"/>
  <c r="H66" i="86"/>
  <c r="N66" i="86" s="1"/>
  <c r="D66" i="86"/>
  <c r="L66" i="86" s="1"/>
  <c r="B66" i="86"/>
  <c r="Z65" i="86"/>
  <c r="X65" i="86"/>
  <c r="V65" i="86"/>
  <c r="N65" i="86"/>
  <c r="L65" i="86"/>
  <c r="B65" i="86"/>
  <c r="Z64" i="86"/>
  <c r="X64" i="86"/>
  <c r="V64" i="86"/>
  <c r="N64" i="86"/>
  <c r="L64" i="86"/>
  <c r="B64" i="86"/>
  <c r="T63" i="86"/>
  <c r="Z63" i="86" s="1"/>
  <c r="P63" i="86"/>
  <c r="X63" i="86" s="1"/>
  <c r="L63" i="86"/>
  <c r="J63" i="86"/>
  <c r="H63" i="86"/>
  <c r="N63" i="86" s="1"/>
  <c r="D63" i="86"/>
  <c r="B63" i="86"/>
  <c r="Z62" i="86"/>
  <c r="X62" i="86"/>
  <c r="N62" i="86"/>
  <c r="L62" i="86"/>
  <c r="B62" i="86"/>
  <c r="Z61" i="86"/>
  <c r="X61" i="86"/>
  <c r="N61" i="86"/>
  <c r="L61" i="86"/>
  <c r="B61" i="86"/>
  <c r="Z60" i="86"/>
  <c r="X60" i="86"/>
  <c r="V60" i="86"/>
  <c r="T60" i="86"/>
  <c r="P60" i="86"/>
  <c r="H60" i="86"/>
  <c r="D60" i="86"/>
  <c r="B60" i="86"/>
  <c r="Z59" i="86"/>
  <c r="X59" i="86"/>
  <c r="N59" i="86"/>
  <c r="L59" i="86"/>
  <c r="B59" i="86"/>
  <c r="Z58" i="86"/>
  <c r="X58" i="86"/>
  <c r="V58" i="86"/>
  <c r="N58" i="86"/>
  <c r="L58" i="86"/>
  <c r="B58" i="86"/>
  <c r="Z57" i="86"/>
  <c r="X57" i="86"/>
  <c r="V57" i="86"/>
  <c r="N57" i="86"/>
  <c r="L57" i="86"/>
  <c r="J57" i="86"/>
  <c r="B57" i="86"/>
  <c r="V56" i="86"/>
  <c r="T56" i="86"/>
  <c r="Z56" i="86" s="1"/>
  <c r="P56" i="86"/>
  <c r="X56" i="86" s="1"/>
  <c r="H56" i="86"/>
  <c r="L56" i="86" s="1"/>
  <c r="D56" i="86"/>
  <c r="B56" i="86"/>
  <c r="X55" i="86"/>
  <c r="Z55" i="86" s="1"/>
  <c r="V55" i="86"/>
  <c r="N55" i="86"/>
  <c r="L55" i="86"/>
  <c r="F55" i="86"/>
  <c r="B55" i="86"/>
  <c r="T54" i="86"/>
  <c r="P54" i="86"/>
  <c r="X54" i="86" s="1"/>
  <c r="Z54" i="86" s="1"/>
  <c r="N54" i="86"/>
  <c r="L54" i="86"/>
  <c r="J54" i="86"/>
  <c r="H54" i="86"/>
  <c r="D54" i="86"/>
  <c r="B54" i="86"/>
  <c r="Z53" i="86"/>
  <c r="X53" i="86"/>
  <c r="N53" i="86"/>
  <c r="L53" i="86"/>
  <c r="B53" i="86"/>
  <c r="Z52" i="86"/>
  <c r="X52" i="86"/>
  <c r="V52" i="86"/>
  <c r="T52" i="86"/>
  <c r="P52" i="86"/>
  <c r="N52" i="86"/>
  <c r="H52" i="86"/>
  <c r="L52" i="86" s="1"/>
  <c r="D52" i="86"/>
  <c r="B52" i="86"/>
  <c r="Z51" i="86"/>
  <c r="X51" i="86"/>
  <c r="N51" i="86"/>
  <c r="L51" i="86"/>
  <c r="B51" i="86"/>
  <c r="Z50" i="86"/>
  <c r="V50" i="86"/>
  <c r="T50" i="86"/>
  <c r="X50" i="86" s="1"/>
  <c r="P50" i="86"/>
  <c r="H50" i="86"/>
  <c r="N50" i="86" s="1"/>
  <c r="D50" i="86"/>
  <c r="L50" i="86" s="1"/>
  <c r="B50" i="86"/>
  <c r="X49" i="86"/>
  <c r="Z49" i="86" s="1"/>
  <c r="V49" i="86"/>
  <c r="L49" i="86"/>
  <c r="N49" i="86" s="1"/>
  <c r="B49" i="86"/>
  <c r="Z48" i="86"/>
  <c r="X48" i="86"/>
  <c r="V48" i="86"/>
  <c r="N48" i="86"/>
  <c r="L48" i="86"/>
  <c r="J48" i="86"/>
  <c r="B48" i="86"/>
  <c r="X47" i="86"/>
  <c r="V47" i="86"/>
  <c r="T47" i="86"/>
  <c r="P47" i="86"/>
  <c r="H47" i="86"/>
  <c r="D47" i="86"/>
  <c r="B47" i="86"/>
  <c r="Z46" i="86"/>
  <c r="X46" i="86"/>
  <c r="R46" i="86"/>
  <c r="N46" i="86"/>
  <c r="L46" i="86"/>
  <c r="B46" i="86"/>
  <c r="T45" i="86"/>
  <c r="P45" i="86"/>
  <c r="N45" i="86"/>
  <c r="L45" i="86"/>
  <c r="H45" i="86"/>
  <c r="D45" i="86"/>
  <c r="B45" i="86"/>
  <c r="Z44" i="86"/>
  <c r="X44" i="86"/>
  <c r="V44" i="86"/>
  <c r="N44" i="86"/>
  <c r="L44" i="86"/>
  <c r="J44" i="86"/>
  <c r="B44" i="86"/>
  <c r="Z43" i="86"/>
  <c r="T43" i="86"/>
  <c r="P43" i="86"/>
  <c r="X43" i="86" s="1"/>
  <c r="N43" i="86"/>
  <c r="H43" i="86"/>
  <c r="D43" i="86"/>
  <c r="L43" i="86" s="1"/>
  <c r="B43" i="86"/>
  <c r="Z42" i="86"/>
  <c r="X42" i="86"/>
  <c r="N42" i="86"/>
  <c r="L42" i="86"/>
  <c r="B42" i="86"/>
  <c r="Z41" i="86"/>
  <c r="X41" i="86"/>
  <c r="V41" i="86"/>
  <c r="N41" i="86"/>
  <c r="L41" i="86"/>
  <c r="B41" i="86"/>
  <c r="Z40" i="86"/>
  <c r="X40" i="86"/>
  <c r="V40" i="86"/>
  <c r="N40" i="86"/>
  <c r="L40" i="86"/>
  <c r="B40" i="86"/>
  <c r="Z39" i="86"/>
  <c r="X39" i="86"/>
  <c r="V39" i="86"/>
  <c r="N39" i="86"/>
  <c r="L39" i="86"/>
  <c r="F39" i="86"/>
  <c r="B39" i="86"/>
  <c r="Z38" i="86"/>
  <c r="X38" i="86"/>
  <c r="V38" i="86"/>
  <c r="N38" i="86"/>
  <c r="L38" i="86"/>
  <c r="B38" i="86"/>
  <c r="Z37" i="86"/>
  <c r="X37" i="86"/>
  <c r="V37" i="86"/>
  <c r="R37" i="86"/>
  <c r="N37" i="86"/>
  <c r="L37" i="86"/>
  <c r="B37" i="86"/>
  <c r="Z36" i="86"/>
  <c r="X36" i="86"/>
  <c r="V36" i="86"/>
  <c r="N36" i="86"/>
  <c r="L36" i="86"/>
  <c r="B36" i="86"/>
  <c r="Z35" i="86"/>
  <c r="X35" i="86"/>
  <c r="V35" i="86"/>
  <c r="N35" i="86"/>
  <c r="L35" i="86"/>
  <c r="B35" i="86"/>
  <c r="Z34" i="86"/>
  <c r="X34" i="86"/>
  <c r="V34" i="86"/>
  <c r="N34" i="86"/>
  <c r="L34" i="86"/>
  <c r="B34" i="86"/>
  <c r="Z33" i="86"/>
  <c r="X33" i="86"/>
  <c r="V33" i="86"/>
  <c r="N33" i="86"/>
  <c r="L33" i="86"/>
  <c r="B33" i="86"/>
  <c r="Z32" i="86"/>
  <c r="X32" i="86"/>
  <c r="V32" i="86"/>
  <c r="T32" i="86"/>
  <c r="P32" i="86"/>
  <c r="N32" i="86"/>
  <c r="H32" i="86"/>
  <c r="D32" i="86"/>
  <c r="L32" i="86" s="1"/>
  <c r="B32" i="86"/>
  <c r="Z31" i="86"/>
  <c r="X31" i="86"/>
  <c r="R31" i="86"/>
  <c r="N31" i="86"/>
  <c r="L31" i="86"/>
  <c r="B31" i="86"/>
  <c r="Z30" i="86"/>
  <c r="X30" i="86"/>
  <c r="N30" i="86"/>
  <c r="L30" i="86"/>
  <c r="B30" i="86"/>
  <c r="Z29" i="86"/>
  <c r="X29" i="86"/>
  <c r="N29" i="86"/>
  <c r="L29" i="86"/>
  <c r="J29" i="86"/>
  <c r="B29" i="86"/>
  <c r="Z28" i="86"/>
  <c r="X28" i="86"/>
  <c r="V28" i="86"/>
  <c r="N28" i="86"/>
  <c r="L28" i="86"/>
  <c r="J28" i="86"/>
  <c r="B28" i="86"/>
  <c r="Z27" i="86"/>
  <c r="X27" i="86"/>
  <c r="N27" i="86"/>
  <c r="L27" i="86"/>
  <c r="B27" i="86"/>
  <c r="Z26" i="86"/>
  <c r="X26" i="86"/>
  <c r="N26" i="86"/>
  <c r="L26" i="86"/>
  <c r="J26" i="86"/>
  <c r="B26" i="86"/>
  <c r="Z25" i="86"/>
  <c r="X25" i="86"/>
  <c r="N25" i="86"/>
  <c r="L25" i="86"/>
  <c r="B25" i="86"/>
  <c r="Z24" i="86"/>
  <c r="X24" i="86"/>
  <c r="V24" i="86"/>
  <c r="N24" i="86"/>
  <c r="L24" i="86"/>
  <c r="B24" i="86"/>
  <c r="T23" i="86"/>
  <c r="Z23" i="86" s="1"/>
  <c r="P23" i="86"/>
  <c r="H23" i="86"/>
  <c r="D23" i="86"/>
  <c r="B23" i="86"/>
  <c r="V22" i="86"/>
  <c r="T22" i="86"/>
  <c r="P22" i="86"/>
  <c r="J22" i="86"/>
  <c r="H22" i="86"/>
  <c r="D22" i="86"/>
  <c r="V20" i="86"/>
  <c r="T20" i="86"/>
  <c r="T86" i="86" s="1"/>
  <c r="Z18" i="86"/>
  <c r="X18" i="86"/>
  <c r="V18" i="86"/>
  <c r="N18" i="86"/>
  <c r="L18" i="86"/>
  <c r="B18" i="86"/>
  <c r="Z17" i="86"/>
  <c r="X17" i="86"/>
  <c r="V17" i="86"/>
  <c r="N17" i="86"/>
  <c r="L17" i="86"/>
  <c r="B17" i="86"/>
  <c r="V16" i="86"/>
  <c r="T16" i="86"/>
  <c r="Z16" i="86" s="1"/>
  <c r="P16" i="86"/>
  <c r="N16" i="86"/>
  <c r="H16" i="86"/>
  <c r="D16" i="86"/>
  <c r="L16" i="86" s="1"/>
  <c r="Z14" i="86"/>
  <c r="P14" i="86"/>
  <c r="X14" i="86" s="1"/>
  <c r="N14" i="86"/>
  <c r="D14" i="86"/>
  <c r="L14" i="86" s="1"/>
  <c r="B14" i="86"/>
  <c r="Z13" i="86"/>
  <c r="P13" i="86"/>
  <c r="X13" i="86" s="1"/>
  <c r="N13" i="86"/>
  <c r="D13" i="86"/>
  <c r="L13" i="86" s="1"/>
  <c r="B13" i="86"/>
  <c r="Z12" i="86"/>
  <c r="T12" i="86"/>
  <c r="V75" i="86" s="1"/>
  <c r="P12" i="86"/>
  <c r="R58" i="86" s="1"/>
  <c r="N12" i="86"/>
  <c r="H12" i="86"/>
  <c r="D12" i="86"/>
  <c r="D6" i="86"/>
  <c r="D4" i="86"/>
  <c r="Z101" i="85"/>
  <c r="X101" i="85"/>
  <c r="L101" i="85"/>
  <c r="N101" i="85" s="1"/>
  <c r="J101" i="85"/>
  <c r="Z97" i="85"/>
  <c r="X97" i="85"/>
  <c r="T97" i="85"/>
  <c r="P97" i="85"/>
  <c r="N97" i="85"/>
  <c r="L97" i="85"/>
  <c r="H97" i="85"/>
  <c r="D97" i="85"/>
  <c r="X95" i="85"/>
  <c r="Z95" i="85" s="1"/>
  <c r="N95" i="85"/>
  <c r="L95" i="85"/>
  <c r="B95" i="85"/>
  <c r="T94" i="85"/>
  <c r="P94" i="85"/>
  <c r="X94" i="85" s="1"/>
  <c r="L94" i="85"/>
  <c r="H94" i="85"/>
  <c r="D94" i="85"/>
  <c r="B94" i="85"/>
  <c r="Z93" i="85"/>
  <c r="X93" i="85"/>
  <c r="N93" i="85"/>
  <c r="L93" i="85"/>
  <c r="B93" i="85"/>
  <c r="Z92" i="85"/>
  <c r="X92" i="85"/>
  <c r="N92" i="85"/>
  <c r="L92" i="85"/>
  <c r="B92" i="85"/>
  <c r="T91" i="85"/>
  <c r="Z91" i="85" s="1"/>
  <c r="P91" i="85"/>
  <c r="X91" i="85" s="1"/>
  <c r="N91" i="85"/>
  <c r="J91" i="85"/>
  <c r="H91" i="85"/>
  <c r="D91" i="85"/>
  <c r="B91" i="85"/>
  <c r="Z90" i="85"/>
  <c r="X90" i="85"/>
  <c r="N90" i="85"/>
  <c r="L90" i="85"/>
  <c r="B90" i="85"/>
  <c r="Z89" i="85"/>
  <c r="T89" i="85"/>
  <c r="P89" i="85"/>
  <c r="X89" i="85" s="1"/>
  <c r="N89" i="85"/>
  <c r="H89" i="85"/>
  <c r="D89" i="85"/>
  <c r="L89" i="85" s="1"/>
  <c r="B89" i="85"/>
  <c r="X88" i="85"/>
  <c r="Z88" i="85" s="1"/>
  <c r="N88" i="85"/>
  <c r="L88" i="85"/>
  <c r="B88" i="85"/>
  <c r="Z87" i="85"/>
  <c r="X87" i="85"/>
  <c r="N87" i="85"/>
  <c r="L87" i="85"/>
  <c r="J87" i="85"/>
  <c r="B87" i="85"/>
  <c r="T86" i="85"/>
  <c r="P86" i="85"/>
  <c r="X86" i="85" s="1"/>
  <c r="Z86" i="85" s="1"/>
  <c r="H86" i="85"/>
  <c r="D86" i="85"/>
  <c r="B86" i="85"/>
  <c r="Z85" i="85"/>
  <c r="X85" i="85"/>
  <c r="N85" i="85"/>
  <c r="L85" i="85"/>
  <c r="B85" i="85"/>
  <c r="Z84" i="85"/>
  <c r="X84" i="85"/>
  <c r="N84" i="85"/>
  <c r="L84" i="85"/>
  <c r="B84" i="85"/>
  <c r="Z83" i="85"/>
  <c r="X83" i="85"/>
  <c r="L83" i="85"/>
  <c r="N83" i="85" s="1"/>
  <c r="B83" i="85"/>
  <c r="X82" i="85"/>
  <c r="Z82" i="85" s="1"/>
  <c r="L82" i="85"/>
  <c r="N82" i="85" s="1"/>
  <c r="B82" i="85"/>
  <c r="Z81" i="85"/>
  <c r="X81" i="85"/>
  <c r="N81" i="85"/>
  <c r="L81" i="85"/>
  <c r="B81" i="85"/>
  <c r="Z80" i="85"/>
  <c r="X80" i="85"/>
  <c r="L80" i="85"/>
  <c r="N80" i="85" s="1"/>
  <c r="B80" i="85"/>
  <c r="Z79" i="85"/>
  <c r="X79" i="85"/>
  <c r="N79" i="85"/>
  <c r="L79" i="85"/>
  <c r="B79" i="85"/>
  <c r="Z78" i="85"/>
  <c r="X78" i="85"/>
  <c r="N78" i="85"/>
  <c r="L78" i="85"/>
  <c r="B78" i="85"/>
  <c r="T77" i="85"/>
  <c r="P77" i="85"/>
  <c r="X77" i="85" s="1"/>
  <c r="Z77" i="85" s="1"/>
  <c r="J77" i="85"/>
  <c r="H77" i="85"/>
  <c r="D77" i="85"/>
  <c r="B77" i="85"/>
  <c r="X76" i="85"/>
  <c r="Z76" i="85" s="1"/>
  <c r="N76" i="85"/>
  <c r="L76" i="85"/>
  <c r="B76" i="85"/>
  <c r="T75" i="85"/>
  <c r="P75" i="85"/>
  <c r="X75" i="85" s="1"/>
  <c r="Z75" i="85" s="1"/>
  <c r="L75" i="85"/>
  <c r="N75" i="85" s="1"/>
  <c r="H75" i="85"/>
  <c r="D75" i="85"/>
  <c r="B75" i="85"/>
  <c r="Z74" i="85"/>
  <c r="X74" i="85"/>
  <c r="N74" i="85"/>
  <c r="L74" i="85"/>
  <c r="B74" i="85"/>
  <c r="Z73" i="85"/>
  <c r="X73" i="85"/>
  <c r="N73" i="85"/>
  <c r="L73" i="85"/>
  <c r="J73" i="85"/>
  <c r="B73" i="85"/>
  <c r="X72" i="85"/>
  <c r="Z72" i="85" s="1"/>
  <c r="N72" i="85"/>
  <c r="L72" i="85"/>
  <c r="B72" i="85"/>
  <c r="Z71" i="85"/>
  <c r="X71" i="85"/>
  <c r="N71" i="85"/>
  <c r="L71" i="85"/>
  <c r="B71" i="85"/>
  <c r="X70" i="85"/>
  <c r="Z70" i="85" s="1"/>
  <c r="N70" i="85"/>
  <c r="L70" i="85"/>
  <c r="B70" i="85"/>
  <c r="Z69" i="85"/>
  <c r="X69" i="85"/>
  <c r="T69" i="85"/>
  <c r="P69" i="85"/>
  <c r="L69" i="85"/>
  <c r="J69" i="85"/>
  <c r="H69" i="85"/>
  <c r="D69" i="85"/>
  <c r="B69" i="85"/>
  <c r="X68" i="85"/>
  <c r="Z68" i="85" s="1"/>
  <c r="L68" i="85"/>
  <c r="N68" i="85" s="1"/>
  <c r="B68" i="85"/>
  <c r="X67" i="85"/>
  <c r="Z67" i="85" s="1"/>
  <c r="N67" i="85"/>
  <c r="L67" i="85"/>
  <c r="B67" i="85"/>
  <c r="X66" i="85"/>
  <c r="T66" i="85"/>
  <c r="Z66" i="85" s="1"/>
  <c r="P66" i="85"/>
  <c r="N66" i="85"/>
  <c r="H66" i="85"/>
  <c r="D66" i="85"/>
  <c r="L66" i="85" s="1"/>
  <c r="B66" i="85"/>
  <c r="Z65" i="85"/>
  <c r="X65" i="85"/>
  <c r="L65" i="85"/>
  <c r="N65" i="85" s="1"/>
  <c r="B65" i="85"/>
  <c r="T64" i="85"/>
  <c r="P64" i="85"/>
  <c r="N64" i="85"/>
  <c r="L64" i="85"/>
  <c r="J64" i="85"/>
  <c r="H64" i="85"/>
  <c r="D64" i="85"/>
  <c r="B64" i="85"/>
  <c r="Z63" i="85"/>
  <c r="X63" i="85"/>
  <c r="L63" i="85"/>
  <c r="N63" i="85" s="1"/>
  <c r="B63" i="85"/>
  <c r="T62" i="85"/>
  <c r="Z62" i="85" s="1"/>
  <c r="P62" i="85"/>
  <c r="X62" i="85" s="1"/>
  <c r="N62" i="85"/>
  <c r="L62" i="85"/>
  <c r="J62" i="85"/>
  <c r="H62" i="85"/>
  <c r="D62" i="85"/>
  <c r="B62" i="85"/>
  <c r="X61" i="85"/>
  <c r="Z61" i="85" s="1"/>
  <c r="N61" i="85"/>
  <c r="L61" i="85"/>
  <c r="B61" i="85"/>
  <c r="Z60" i="85"/>
  <c r="T60" i="85"/>
  <c r="P60" i="85"/>
  <c r="X60" i="85" s="1"/>
  <c r="L60" i="85"/>
  <c r="J60" i="85"/>
  <c r="H60" i="85"/>
  <c r="N60" i="85" s="1"/>
  <c r="D60" i="85"/>
  <c r="B60" i="85"/>
  <c r="X59" i="85"/>
  <c r="Z59" i="85" s="1"/>
  <c r="N59" i="85"/>
  <c r="L59" i="85"/>
  <c r="J59" i="85"/>
  <c r="B59" i="85"/>
  <c r="Z58" i="85"/>
  <c r="X58" i="85"/>
  <c r="T58" i="85"/>
  <c r="P58" i="85"/>
  <c r="H58" i="85"/>
  <c r="D58" i="85"/>
  <c r="B58" i="85"/>
  <c r="X57" i="85"/>
  <c r="Z57" i="85" s="1"/>
  <c r="N57" i="85"/>
  <c r="L57" i="85"/>
  <c r="B57" i="85"/>
  <c r="Z56" i="85"/>
  <c r="X56" i="85"/>
  <c r="T56" i="85"/>
  <c r="P56" i="85"/>
  <c r="H56" i="85"/>
  <c r="N56" i="85" s="1"/>
  <c r="D56" i="85"/>
  <c r="L56" i="85" s="1"/>
  <c r="B56" i="85"/>
  <c r="X55" i="85"/>
  <c r="Z55" i="85" s="1"/>
  <c r="L55" i="85"/>
  <c r="N55" i="85" s="1"/>
  <c r="B55" i="85"/>
  <c r="Z54" i="85"/>
  <c r="X54" i="85"/>
  <c r="N54" i="85"/>
  <c r="L54" i="85"/>
  <c r="J54" i="85"/>
  <c r="B54" i="85"/>
  <c r="T53" i="85"/>
  <c r="Z53" i="85" s="1"/>
  <c r="P53" i="85"/>
  <c r="X53" i="85" s="1"/>
  <c r="L53" i="85"/>
  <c r="H53" i="85"/>
  <c r="D53" i="85"/>
  <c r="B53" i="85"/>
  <c r="X52" i="85"/>
  <c r="Z52" i="85" s="1"/>
  <c r="N52" i="85"/>
  <c r="L52" i="85"/>
  <c r="J52" i="85"/>
  <c r="B52" i="85"/>
  <c r="T51" i="85"/>
  <c r="Z51" i="85" s="1"/>
  <c r="P51" i="85"/>
  <c r="X51" i="85" s="1"/>
  <c r="N51" i="85"/>
  <c r="H51" i="85"/>
  <c r="D51" i="85"/>
  <c r="L51" i="85" s="1"/>
  <c r="B51" i="85"/>
  <c r="Z50" i="85"/>
  <c r="X50" i="85"/>
  <c r="L50" i="85"/>
  <c r="N50" i="85" s="1"/>
  <c r="J50" i="85"/>
  <c r="B50" i="85"/>
  <c r="X49" i="85"/>
  <c r="T49" i="85"/>
  <c r="P49" i="85"/>
  <c r="H49" i="85"/>
  <c r="D49" i="85"/>
  <c r="B49" i="85"/>
  <c r="Z48" i="85"/>
  <c r="X48" i="85"/>
  <c r="L48" i="85"/>
  <c r="N48" i="85" s="1"/>
  <c r="B48" i="85"/>
  <c r="X47" i="85"/>
  <c r="T47" i="85"/>
  <c r="P47" i="85"/>
  <c r="H47" i="85"/>
  <c r="D47" i="85"/>
  <c r="L47" i="85" s="1"/>
  <c r="B47" i="85"/>
  <c r="Z46" i="85"/>
  <c r="X46" i="85"/>
  <c r="N46" i="85"/>
  <c r="L46" i="85"/>
  <c r="B46" i="85"/>
  <c r="Z45" i="85"/>
  <c r="X45" i="85"/>
  <c r="N45" i="85"/>
  <c r="L45" i="85"/>
  <c r="B45" i="85"/>
  <c r="X44" i="85"/>
  <c r="Z44" i="85" s="1"/>
  <c r="N44" i="85"/>
  <c r="L44" i="85"/>
  <c r="J44" i="85"/>
  <c r="B44" i="85"/>
  <c r="X43" i="85"/>
  <c r="Z43" i="85" s="1"/>
  <c r="N43" i="85"/>
  <c r="L43" i="85"/>
  <c r="J43" i="85"/>
  <c r="B43" i="85"/>
  <c r="Z42" i="85"/>
  <c r="X42" i="85"/>
  <c r="N42" i="85"/>
  <c r="L42" i="85"/>
  <c r="B42" i="85"/>
  <c r="X41" i="85"/>
  <c r="Z41" i="85" s="1"/>
  <c r="L41" i="85"/>
  <c r="N41" i="85" s="1"/>
  <c r="B41" i="85"/>
  <c r="X40" i="85"/>
  <c r="Z40" i="85" s="1"/>
  <c r="N40" i="85"/>
  <c r="L40" i="85"/>
  <c r="J40" i="85"/>
  <c r="B40" i="85"/>
  <c r="Z39" i="85"/>
  <c r="X39" i="85"/>
  <c r="N39" i="85"/>
  <c r="L39" i="85"/>
  <c r="J39" i="85"/>
  <c r="B39" i="85"/>
  <c r="Z38" i="85"/>
  <c r="X38" i="85"/>
  <c r="N38" i="85"/>
  <c r="L38" i="85"/>
  <c r="B38" i="85"/>
  <c r="Z37" i="85"/>
  <c r="X37" i="85"/>
  <c r="N37" i="85"/>
  <c r="L37" i="85"/>
  <c r="B37" i="85"/>
  <c r="T36" i="85"/>
  <c r="P36" i="85"/>
  <c r="N36" i="85"/>
  <c r="L36" i="85"/>
  <c r="J36" i="85"/>
  <c r="H36" i="85"/>
  <c r="D36" i="85"/>
  <c r="B36" i="85"/>
  <c r="Z35" i="85"/>
  <c r="X35" i="85"/>
  <c r="N35" i="85"/>
  <c r="L35" i="85"/>
  <c r="B35" i="85"/>
  <c r="Z34" i="85"/>
  <c r="X34" i="85"/>
  <c r="L34" i="85"/>
  <c r="N34" i="85" s="1"/>
  <c r="J34" i="85"/>
  <c r="B34" i="85"/>
  <c r="X33" i="85"/>
  <c r="Z33" i="85" s="1"/>
  <c r="L33" i="85"/>
  <c r="N33" i="85" s="1"/>
  <c r="B33" i="85"/>
  <c r="Z32" i="85"/>
  <c r="X32" i="85"/>
  <c r="N32" i="85"/>
  <c r="L32" i="85"/>
  <c r="B32" i="85"/>
  <c r="Z31" i="85"/>
  <c r="X31" i="85"/>
  <c r="L31" i="85"/>
  <c r="N31" i="85" s="1"/>
  <c r="B31" i="85"/>
  <c r="Z30" i="85"/>
  <c r="X30" i="85"/>
  <c r="L30" i="85"/>
  <c r="N30" i="85" s="1"/>
  <c r="J30" i="85"/>
  <c r="B30" i="85"/>
  <c r="X29" i="85"/>
  <c r="Z29" i="85" s="1"/>
  <c r="L29" i="85"/>
  <c r="N29" i="85" s="1"/>
  <c r="B29" i="85"/>
  <c r="Z28" i="85"/>
  <c r="X28" i="85"/>
  <c r="N28" i="85"/>
  <c r="L28" i="85"/>
  <c r="B28" i="85"/>
  <c r="Z27" i="85"/>
  <c r="X27" i="85"/>
  <c r="L27" i="85"/>
  <c r="N27" i="85" s="1"/>
  <c r="B27" i="85"/>
  <c r="T26" i="85"/>
  <c r="P26" i="85"/>
  <c r="X26" i="85" s="1"/>
  <c r="N26" i="85"/>
  <c r="L26" i="85"/>
  <c r="J26" i="85"/>
  <c r="H26" i="85"/>
  <c r="D26" i="85"/>
  <c r="B26" i="85"/>
  <c r="T25" i="85"/>
  <c r="P25" i="85"/>
  <c r="X25" i="85" s="1"/>
  <c r="H25" i="85"/>
  <c r="D25" i="85"/>
  <c r="H23" i="85"/>
  <c r="Z21" i="85"/>
  <c r="X21" i="85"/>
  <c r="N21" i="85"/>
  <c r="L21" i="85"/>
  <c r="B21" i="85"/>
  <c r="Z20" i="85"/>
  <c r="X20" i="85"/>
  <c r="N20" i="85"/>
  <c r="L20" i="85"/>
  <c r="B20" i="85"/>
  <c r="X19" i="85"/>
  <c r="Z19" i="85" s="1"/>
  <c r="L19" i="85"/>
  <c r="N19" i="85" s="1"/>
  <c r="B19" i="85"/>
  <c r="X18" i="85"/>
  <c r="Z18" i="85" s="1"/>
  <c r="T18" i="85"/>
  <c r="P18" i="85"/>
  <c r="N18" i="85"/>
  <c r="H18" i="85"/>
  <c r="D18" i="85"/>
  <c r="L18" i="85" s="1"/>
  <c r="Z16" i="85"/>
  <c r="X16" i="85"/>
  <c r="P16" i="85"/>
  <c r="N16" i="85"/>
  <c r="L16" i="85"/>
  <c r="D16" i="85"/>
  <c r="B16" i="85"/>
  <c r="X15" i="85"/>
  <c r="Z15" i="85" s="1"/>
  <c r="P15" i="85"/>
  <c r="L15" i="85"/>
  <c r="N15" i="85" s="1"/>
  <c r="D15" i="85"/>
  <c r="B15" i="85"/>
  <c r="Z14" i="85"/>
  <c r="P14" i="85"/>
  <c r="X14" i="85" s="1"/>
  <c r="N14" i="85"/>
  <c r="L14" i="85"/>
  <c r="D14" i="85"/>
  <c r="B14" i="85"/>
  <c r="P13" i="85"/>
  <c r="D13" i="85"/>
  <c r="B13" i="85"/>
  <c r="T12" i="85"/>
  <c r="H12" i="85"/>
  <c r="J89" i="85" s="1"/>
  <c r="D6" i="85"/>
  <c r="D4" i="85"/>
  <c r="V86" i="84"/>
  <c r="V83" i="84"/>
  <c r="Z81" i="84"/>
  <c r="X81" i="84"/>
  <c r="V81" i="84"/>
  <c r="N81" i="84"/>
  <c r="L81" i="84"/>
  <c r="V79" i="84"/>
  <c r="J79" i="84"/>
  <c r="V77" i="84"/>
  <c r="T77" i="84"/>
  <c r="P77" i="84"/>
  <c r="N77" i="84"/>
  <c r="L77" i="84"/>
  <c r="H77" i="84"/>
  <c r="D77" i="84"/>
  <c r="Z75" i="84"/>
  <c r="X75" i="84"/>
  <c r="V75" i="84"/>
  <c r="R75" i="84"/>
  <c r="N75" i="84"/>
  <c r="L75" i="84"/>
  <c r="B75" i="84"/>
  <c r="T74" i="84"/>
  <c r="Z74" i="84" s="1"/>
  <c r="P74" i="84"/>
  <c r="X74" i="84" s="1"/>
  <c r="H74" i="84"/>
  <c r="N74" i="84" s="1"/>
  <c r="D74" i="84"/>
  <c r="L74" i="84" s="1"/>
  <c r="B74" i="84"/>
  <c r="Z73" i="84"/>
  <c r="X73" i="84"/>
  <c r="V73" i="84"/>
  <c r="N73" i="84"/>
  <c r="L73" i="84"/>
  <c r="B73" i="84"/>
  <c r="X72" i="84"/>
  <c r="T72" i="84"/>
  <c r="Z72" i="84" s="1"/>
  <c r="P72" i="84"/>
  <c r="J72" i="84"/>
  <c r="H72" i="84"/>
  <c r="N72" i="84" s="1"/>
  <c r="D72" i="84"/>
  <c r="B72" i="84"/>
  <c r="Z71" i="84"/>
  <c r="X71" i="84"/>
  <c r="N71" i="84"/>
  <c r="L71" i="84"/>
  <c r="B71" i="84"/>
  <c r="T70" i="84"/>
  <c r="Z70" i="84" s="1"/>
  <c r="P70" i="84"/>
  <c r="H70" i="84"/>
  <c r="N70" i="84" s="1"/>
  <c r="D70" i="84"/>
  <c r="L70" i="84" s="1"/>
  <c r="B70" i="84"/>
  <c r="Z69" i="84"/>
  <c r="X69" i="84"/>
  <c r="V69" i="84"/>
  <c r="N69" i="84"/>
  <c r="L69" i="84"/>
  <c r="B69" i="84"/>
  <c r="Z68" i="84"/>
  <c r="X68" i="84"/>
  <c r="V68" i="84"/>
  <c r="N68" i="84"/>
  <c r="L68" i="84"/>
  <c r="B68" i="84"/>
  <c r="Z67" i="84"/>
  <c r="X67" i="84"/>
  <c r="V67" i="84"/>
  <c r="N67" i="84"/>
  <c r="L67" i="84"/>
  <c r="J67" i="84"/>
  <c r="B67" i="84"/>
  <c r="T66" i="84"/>
  <c r="Z66" i="84" s="1"/>
  <c r="P66" i="84"/>
  <c r="X66" i="84" s="1"/>
  <c r="N66" i="84"/>
  <c r="H66" i="84"/>
  <c r="D66" i="84"/>
  <c r="L66" i="84" s="1"/>
  <c r="B66" i="84"/>
  <c r="Z65" i="84"/>
  <c r="X65" i="84"/>
  <c r="V65" i="84"/>
  <c r="N65" i="84"/>
  <c r="L65" i="84"/>
  <c r="J65" i="84"/>
  <c r="B65" i="84"/>
  <c r="X64" i="84"/>
  <c r="T64" i="84"/>
  <c r="Z64" i="84" s="1"/>
  <c r="P64" i="84"/>
  <c r="H64" i="84"/>
  <c r="N64" i="84" s="1"/>
  <c r="D64" i="84"/>
  <c r="B64" i="84"/>
  <c r="Z63" i="84"/>
  <c r="X63" i="84"/>
  <c r="N63" i="84"/>
  <c r="L63" i="84"/>
  <c r="B63" i="84"/>
  <c r="T62" i="84"/>
  <c r="P62" i="84"/>
  <c r="H62" i="84"/>
  <c r="N62" i="84" s="1"/>
  <c r="D62" i="84"/>
  <c r="L62" i="84" s="1"/>
  <c r="B62" i="84"/>
  <c r="Z61" i="84"/>
  <c r="X61" i="84"/>
  <c r="V61" i="84"/>
  <c r="N61" i="84"/>
  <c r="L61" i="84"/>
  <c r="B61" i="84"/>
  <c r="Z60" i="84"/>
  <c r="V60" i="84"/>
  <c r="T60" i="84"/>
  <c r="P60" i="84"/>
  <c r="X60" i="84" s="1"/>
  <c r="H60" i="84"/>
  <c r="N60" i="84" s="1"/>
  <c r="D60" i="84"/>
  <c r="L60" i="84" s="1"/>
  <c r="B60" i="84"/>
  <c r="Z59" i="84"/>
  <c r="X59" i="84"/>
  <c r="V59" i="84"/>
  <c r="N59" i="84"/>
  <c r="L59" i="84"/>
  <c r="B59" i="84"/>
  <c r="Z58" i="84"/>
  <c r="X58" i="84"/>
  <c r="V58" i="84"/>
  <c r="N58" i="84"/>
  <c r="L58" i="84"/>
  <c r="B58" i="84"/>
  <c r="V57" i="84"/>
  <c r="T57" i="84"/>
  <c r="Z57" i="84" s="1"/>
  <c r="P57" i="84"/>
  <c r="X57" i="84" s="1"/>
  <c r="N57" i="84"/>
  <c r="L57" i="84"/>
  <c r="H57" i="84"/>
  <c r="D57" i="84"/>
  <c r="B57" i="84"/>
  <c r="Z56" i="84"/>
  <c r="X56" i="84"/>
  <c r="V56" i="84"/>
  <c r="N56" i="84"/>
  <c r="L56" i="84"/>
  <c r="B56" i="84"/>
  <c r="Z55" i="84"/>
  <c r="V55" i="84"/>
  <c r="T55" i="84"/>
  <c r="P55" i="84"/>
  <c r="X55" i="84" s="1"/>
  <c r="N55" i="84"/>
  <c r="L55" i="84"/>
  <c r="H55" i="84"/>
  <c r="D55" i="84"/>
  <c r="B55" i="84"/>
  <c r="Z54" i="84"/>
  <c r="X54" i="84"/>
  <c r="N54" i="84"/>
  <c r="L54" i="84"/>
  <c r="J54" i="84"/>
  <c r="B54" i="84"/>
  <c r="Z53" i="84"/>
  <c r="X53" i="84"/>
  <c r="V53" i="84"/>
  <c r="T53" i="84"/>
  <c r="P53" i="84"/>
  <c r="H53" i="84"/>
  <c r="D53" i="84"/>
  <c r="B53" i="84"/>
  <c r="Z52" i="84"/>
  <c r="X52" i="84"/>
  <c r="N52" i="84"/>
  <c r="L52" i="84"/>
  <c r="B52" i="84"/>
  <c r="Z51" i="84"/>
  <c r="X51" i="84"/>
  <c r="V51" i="84"/>
  <c r="T51" i="84"/>
  <c r="P51" i="84"/>
  <c r="H51" i="84"/>
  <c r="N51" i="84" s="1"/>
  <c r="D51" i="84"/>
  <c r="L51" i="84" s="1"/>
  <c r="B51" i="84"/>
  <c r="X50" i="84"/>
  <c r="Z50" i="84" s="1"/>
  <c r="L50" i="84"/>
  <c r="N50" i="84" s="1"/>
  <c r="B50" i="84"/>
  <c r="X49" i="84"/>
  <c r="Z49" i="84" s="1"/>
  <c r="V49" i="84"/>
  <c r="T49" i="84"/>
  <c r="P49" i="84"/>
  <c r="H49" i="84"/>
  <c r="D49" i="84"/>
  <c r="L49" i="84" s="1"/>
  <c r="N49" i="84" s="1"/>
  <c r="B49" i="84"/>
  <c r="Z48" i="84"/>
  <c r="X48" i="84"/>
  <c r="V48" i="84"/>
  <c r="N48" i="84"/>
  <c r="L48" i="84"/>
  <c r="B48" i="84"/>
  <c r="V47" i="84"/>
  <c r="T47" i="84"/>
  <c r="P47" i="84"/>
  <c r="N47" i="84"/>
  <c r="L47" i="84"/>
  <c r="H47" i="84"/>
  <c r="D47" i="84"/>
  <c r="B47" i="84"/>
  <c r="Z46" i="84"/>
  <c r="X46" i="84"/>
  <c r="V46" i="84"/>
  <c r="N46" i="84"/>
  <c r="L46" i="84"/>
  <c r="B46" i="84"/>
  <c r="V45" i="84"/>
  <c r="T45" i="84"/>
  <c r="Z45" i="84" s="1"/>
  <c r="P45" i="84"/>
  <c r="N45" i="84"/>
  <c r="L45" i="84"/>
  <c r="H45" i="84"/>
  <c r="D45" i="84"/>
  <c r="B45" i="84"/>
  <c r="Z44" i="84"/>
  <c r="X44" i="84"/>
  <c r="V44" i="84"/>
  <c r="N44" i="84"/>
  <c r="L44" i="84"/>
  <c r="B44" i="84"/>
  <c r="Z43" i="84"/>
  <c r="X43" i="84"/>
  <c r="V43" i="84"/>
  <c r="N43" i="84"/>
  <c r="L43" i="84"/>
  <c r="B43" i="84"/>
  <c r="Z42" i="84"/>
  <c r="X42" i="84"/>
  <c r="N42" i="84"/>
  <c r="L42" i="84"/>
  <c r="B42" i="84"/>
  <c r="Z41" i="84"/>
  <c r="X41" i="84"/>
  <c r="V41" i="84"/>
  <c r="N41" i="84"/>
  <c r="L41" i="84"/>
  <c r="J41" i="84"/>
  <c r="B41" i="84"/>
  <c r="Z40" i="84"/>
  <c r="X40" i="84"/>
  <c r="V40" i="84"/>
  <c r="N40" i="84"/>
  <c r="L40" i="84"/>
  <c r="B40" i="84"/>
  <c r="Z39" i="84"/>
  <c r="X39" i="84"/>
  <c r="V39" i="84"/>
  <c r="N39" i="84"/>
  <c r="L39" i="84"/>
  <c r="J39" i="84"/>
  <c r="B39" i="84"/>
  <c r="Z38" i="84"/>
  <c r="X38" i="84"/>
  <c r="N38" i="84"/>
  <c r="L38" i="84"/>
  <c r="B38" i="84"/>
  <c r="Z37" i="84"/>
  <c r="X37" i="84"/>
  <c r="V37" i="84"/>
  <c r="N37" i="84"/>
  <c r="L37" i="84"/>
  <c r="J37" i="84"/>
  <c r="B37" i="84"/>
  <c r="Z36" i="84"/>
  <c r="X36" i="84"/>
  <c r="V36" i="84"/>
  <c r="R36" i="84"/>
  <c r="N36" i="84"/>
  <c r="L36" i="84"/>
  <c r="B36" i="84"/>
  <c r="Z35" i="84"/>
  <c r="X35" i="84"/>
  <c r="V35" i="84"/>
  <c r="N35" i="84"/>
  <c r="L35" i="84"/>
  <c r="J35" i="84"/>
  <c r="F35" i="84"/>
  <c r="B35" i="84"/>
  <c r="X34" i="84"/>
  <c r="T34" i="84"/>
  <c r="Z34" i="84" s="1"/>
  <c r="P34" i="84"/>
  <c r="H34" i="84"/>
  <c r="N34" i="84" s="1"/>
  <c r="D34" i="84"/>
  <c r="B34" i="84"/>
  <c r="Z33" i="84"/>
  <c r="X33" i="84"/>
  <c r="V33" i="84"/>
  <c r="N33" i="84"/>
  <c r="L33" i="84"/>
  <c r="B33" i="84"/>
  <c r="Z32" i="84"/>
  <c r="X32" i="84"/>
  <c r="V32" i="84"/>
  <c r="N32" i="84"/>
  <c r="L32" i="84"/>
  <c r="B32" i="84"/>
  <c r="Z31" i="84"/>
  <c r="X31" i="84"/>
  <c r="V31" i="84"/>
  <c r="N31" i="84"/>
  <c r="L31" i="84"/>
  <c r="J31" i="84"/>
  <c r="B31" i="84"/>
  <c r="Z30" i="84"/>
  <c r="X30" i="84"/>
  <c r="N30" i="84"/>
  <c r="L30" i="84"/>
  <c r="J30" i="84"/>
  <c r="B30" i="84"/>
  <c r="Z29" i="84"/>
  <c r="X29" i="84"/>
  <c r="V29" i="84"/>
  <c r="N29" i="84"/>
  <c r="L29" i="84"/>
  <c r="B29" i="84"/>
  <c r="Z28" i="84"/>
  <c r="X28" i="84"/>
  <c r="V28" i="84"/>
  <c r="R28" i="84"/>
  <c r="N28" i="84"/>
  <c r="L28" i="84"/>
  <c r="B28" i="84"/>
  <c r="Z27" i="84"/>
  <c r="X27" i="84"/>
  <c r="V27" i="84"/>
  <c r="N27" i="84"/>
  <c r="L27" i="84"/>
  <c r="J27" i="84"/>
  <c r="B27" i="84"/>
  <c r="Z26" i="84"/>
  <c r="X26" i="84"/>
  <c r="N26" i="84"/>
  <c r="L26" i="84"/>
  <c r="B26" i="84"/>
  <c r="Z25" i="84"/>
  <c r="X25" i="84"/>
  <c r="V25" i="84"/>
  <c r="N25" i="84"/>
  <c r="L25" i="84"/>
  <c r="J25" i="84"/>
  <c r="B25" i="84"/>
  <c r="Z24" i="84"/>
  <c r="V24" i="84"/>
  <c r="T24" i="84"/>
  <c r="P24" i="84"/>
  <c r="X24" i="84" s="1"/>
  <c r="H24" i="84"/>
  <c r="N24" i="84" s="1"/>
  <c r="D24" i="84"/>
  <c r="L24" i="84" s="1"/>
  <c r="B24" i="84"/>
  <c r="Z23" i="84"/>
  <c r="X23" i="84"/>
  <c r="V23" i="84"/>
  <c r="T23" i="84"/>
  <c r="P23" i="84"/>
  <c r="H23" i="84"/>
  <c r="D23" i="84"/>
  <c r="V21" i="84"/>
  <c r="N21" i="84"/>
  <c r="J21" i="84"/>
  <c r="H21" i="84"/>
  <c r="H79" i="84" s="1"/>
  <c r="H83" i="84" s="1"/>
  <c r="Z19" i="84"/>
  <c r="X19" i="84"/>
  <c r="V19" i="84"/>
  <c r="N19" i="84"/>
  <c r="L19" i="84"/>
  <c r="J19" i="84"/>
  <c r="B19" i="84"/>
  <c r="Z18" i="84"/>
  <c r="X18" i="84"/>
  <c r="V18" i="84"/>
  <c r="N18" i="84"/>
  <c r="L18" i="84"/>
  <c r="B18" i="84"/>
  <c r="V17" i="84"/>
  <c r="T17" i="84"/>
  <c r="R17" i="84"/>
  <c r="P17" i="84"/>
  <c r="N17" i="84"/>
  <c r="L17" i="84"/>
  <c r="H17" i="84"/>
  <c r="D17" i="84"/>
  <c r="Z15" i="84"/>
  <c r="P15" i="84"/>
  <c r="X15" i="84" s="1"/>
  <c r="N15" i="84"/>
  <c r="D15" i="84"/>
  <c r="D12" i="84" s="1"/>
  <c r="F70" i="84" s="1"/>
  <c r="B15" i="84"/>
  <c r="Z14" i="84"/>
  <c r="X14" i="84"/>
  <c r="P14" i="84"/>
  <c r="N14" i="84"/>
  <c r="D14" i="84"/>
  <c r="L14" i="84" s="1"/>
  <c r="B14" i="84"/>
  <c r="Z13" i="84"/>
  <c r="P13" i="84"/>
  <c r="P12" i="84" s="1"/>
  <c r="R77" i="84" s="1"/>
  <c r="N13" i="84"/>
  <c r="L13" i="84"/>
  <c r="D13" i="84"/>
  <c r="B13" i="84"/>
  <c r="Z12" i="84"/>
  <c r="T12" i="84"/>
  <c r="V72" i="84" s="1"/>
  <c r="H12" i="84"/>
  <c r="J45" i="84" s="1"/>
  <c r="D6" i="84"/>
  <c r="D4" i="84"/>
  <c r="J87" i="83"/>
  <c r="H84" i="83"/>
  <c r="Z82" i="83"/>
  <c r="X82" i="83"/>
  <c r="N82" i="83"/>
  <c r="L82" i="83"/>
  <c r="V78" i="83"/>
  <c r="T78" i="83"/>
  <c r="P78" i="83"/>
  <c r="H78" i="83"/>
  <c r="N78" i="83" s="1"/>
  <c r="D78" i="83"/>
  <c r="L78" i="83" s="1"/>
  <c r="Z76" i="83"/>
  <c r="X76" i="83"/>
  <c r="N76" i="83"/>
  <c r="L76" i="83"/>
  <c r="B76" i="83"/>
  <c r="Z75" i="83"/>
  <c r="V75" i="83"/>
  <c r="T75" i="83"/>
  <c r="P75" i="83"/>
  <c r="X75" i="83" s="1"/>
  <c r="N75" i="83"/>
  <c r="L75" i="83"/>
  <c r="H75" i="83"/>
  <c r="D75" i="83"/>
  <c r="B75" i="83"/>
  <c r="Z74" i="83"/>
  <c r="X74" i="83"/>
  <c r="N74" i="83"/>
  <c r="L74" i="83"/>
  <c r="B74" i="83"/>
  <c r="Z73" i="83"/>
  <c r="X73" i="83"/>
  <c r="V73" i="83"/>
  <c r="N73" i="83"/>
  <c r="L73" i="83"/>
  <c r="B73" i="83"/>
  <c r="Z72" i="83"/>
  <c r="T72" i="83"/>
  <c r="P72" i="83"/>
  <c r="X72" i="83" s="1"/>
  <c r="J72" i="83"/>
  <c r="H72" i="83"/>
  <c r="N72" i="83" s="1"/>
  <c r="D72" i="83"/>
  <c r="L72" i="83" s="1"/>
  <c r="B72" i="83"/>
  <c r="Z71" i="83"/>
  <c r="X71" i="83"/>
  <c r="N71" i="83"/>
  <c r="L71" i="83"/>
  <c r="J71" i="83"/>
  <c r="B71" i="83"/>
  <c r="Z70" i="83"/>
  <c r="X70" i="83"/>
  <c r="V70" i="83"/>
  <c r="N70" i="83"/>
  <c r="L70" i="83"/>
  <c r="B70" i="83"/>
  <c r="Z69" i="83"/>
  <c r="X69" i="83"/>
  <c r="V69" i="83"/>
  <c r="R69" i="83"/>
  <c r="N69" i="83"/>
  <c r="L69" i="83"/>
  <c r="J69" i="83"/>
  <c r="B69" i="83"/>
  <c r="Z68" i="83"/>
  <c r="X68" i="83"/>
  <c r="N68" i="83"/>
  <c r="L68" i="83"/>
  <c r="J68" i="83"/>
  <c r="B68" i="83"/>
  <c r="Z67" i="83"/>
  <c r="X67" i="83"/>
  <c r="V67" i="83"/>
  <c r="N67" i="83"/>
  <c r="L67" i="83"/>
  <c r="B67" i="83"/>
  <c r="Z66" i="83"/>
  <c r="X66" i="83"/>
  <c r="V66" i="83"/>
  <c r="N66" i="83"/>
  <c r="L66" i="83"/>
  <c r="B66" i="83"/>
  <c r="Z65" i="83"/>
  <c r="X65" i="83"/>
  <c r="V65" i="83"/>
  <c r="N65" i="83"/>
  <c r="L65" i="83"/>
  <c r="J65" i="83"/>
  <c r="B65" i="83"/>
  <c r="Z64" i="83"/>
  <c r="X64" i="83"/>
  <c r="N64" i="83"/>
  <c r="L64" i="83"/>
  <c r="B64" i="83"/>
  <c r="Z63" i="83"/>
  <c r="X63" i="83"/>
  <c r="V63" i="83"/>
  <c r="T63" i="83"/>
  <c r="P63" i="83"/>
  <c r="N63" i="83"/>
  <c r="J63" i="83"/>
  <c r="H63" i="83"/>
  <c r="D63" i="83"/>
  <c r="L63" i="83" s="1"/>
  <c r="B63" i="83"/>
  <c r="Z62" i="83"/>
  <c r="X62" i="83"/>
  <c r="R62" i="83"/>
  <c r="N62" i="83"/>
  <c r="L62" i="83"/>
  <c r="J62" i="83"/>
  <c r="B62" i="83"/>
  <c r="Z61" i="83"/>
  <c r="X61" i="83"/>
  <c r="N61" i="83"/>
  <c r="L61" i="83"/>
  <c r="J61" i="83"/>
  <c r="B61" i="83"/>
  <c r="Z60" i="83"/>
  <c r="X60" i="83"/>
  <c r="V60" i="83"/>
  <c r="T60" i="83"/>
  <c r="P60" i="83"/>
  <c r="L60" i="83"/>
  <c r="H60" i="83"/>
  <c r="N60" i="83" s="1"/>
  <c r="D60" i="83"/>
  <c r="B60" i="83"/>
  <c r="Z59" i="83"/>
  <c r="X59" i="83"/>
  <c r="V59" i="83"/>
  <c r="N59" i="83"/>
  <c r="L59" i="83"/>
  <c r="J59" i="83"/>
  <c r="B59" i="83"/>
  <c r="Z58" i="83"/>
  <c r="X58" i="83"/>
  <c r="N58" i="83"/>
  <c r="L58" i="83"/>
  <c r="J58" i="83"/>
  <c r="B58" i="83"/>
  <c r="Z57" i="83"/>
  <c r="X57" i="83"/>
  <c r="N57" i="83"/>
  <c r="L57" i="83"/>
  <c r="B57" i="83"/>
  <c r="Z56" i="83"/>
  <c r="X56" i="83"/>
  <c r="N56" i="83"/>
  <c r="L56" i="83"/>
  <c r="B56" i="83"/>
  <c r="T55" i="83"/>
  <c r="Z55" i="83" s="1"/>
  <c r="R55" i="83"/>
  <c r="P55" i="83"/>
  <c r="N55" i="83"/>
  <c r="H55" i="83"/>
  <c r="D55" i="83"/>
  <c r="L55" i="83" s="1"/>
  <c r="B55" i="83"/>
  <c r="Z54" i="83"/>
  <c r="X54" i="83"/>
  <c r="N54" i="83"/>
  <c r="L54" i="83"/>
  <c r="B54" i="83"/>
  <c r="Z53" i="83"/>
  <c r="V53" i="83"/>
  <c r="T53" i="83"/>
  <c r="P53" i="83"/>
  <c r="X53" i="83" s="1"/>
  <c r="N53" i="83"/>
  <c r="L53" i="83"/>
  <c r="J53" i="83"/>
  <c r="H53" i="83"/>
  <c r="D53" i="83"/>
  <c r="B53" i="83"/>
  <c r="Z52" i="83"/>
  <c r="X52" i="83"/>
  <c r="N52" i="83"/>
  <c r="L52" i="83"/>
  <c r="B52" i="83"/>
  <c r="Z51" i="83"/>
  <c r="V51" i="83"/>
  <c r="T51" i="83"/>
  <c r="P51" i="83"/>
  <c r="N51" i="83"/>
  <c r="L51" i="83"/>
  <c r="J51" i="83"/>
  <c r="H51" i="83"/>
  <c r="D51" i="83"/>
  <c r="B51" i="83"/>
  <c r="X50" i="83"/>
  <c r="Z50" i="83" s="1"/>
  <c r="V50" i="83"/>
  <c r="N50" i="83"/>
  <c r="L50" i="83"/>
  <c r="J50" i="83"/>
  <c r="B50" i="83"/>
  <c r="T49" i="83"/>
  <c r="R49" i="83"/>
  <c r="P49" i="83"/>
  <c r="X49" i="83" s="1"/>
  <c r="Z49" i="83" s="1"/>
  <c r="N49" i="83"/>
  <c r="L49" i="83"/>
  <c r="J49" i="83"/>
  <c r="H49" i="83"/>
  <c r="D49" i="83"/>
  <c r="B49" i="83"/>
  <c r="Z48" i="83"/>
  <c r="X48" i="83"/>
  <c r="N48" i="83"/>
  <c r="L48" i="83"/>
  <c r="J48" i="83"/>
  <c r="B48" i="83"/>
  <c r="Z47" i="83"/>
  <c r="X47" i="83"/>
  <c r="T47" i="83"/>
  <c r="P47" i="83"/>
  <c r="J47" i="83"/>
  <c r="H47" i="83"/>
  <c r="N47" i="83" s="1"/>
  <c r="D47" i="83"/>
  <c r="L47" i="83" s="1"/>
  <c r="B47" i="83"/>
  <c r="Z46" i="83"/>
  <c r="X46" i="83"/>
  <c r="N46" i="83"/>
  <c r="L46" i="83"/>
  <c r="J46" i="83"/>
  <c r="B46" i="83"/>
  <c r="Z45" i="83"/>
  <c r="X45" i="83"/>
  <c r="V45" i="83"/>
  <c r="T45" i="83"/>
  <c r="P45" i="83"/>
  <c r="N45" i="83"/>
  <c r="H45" i="83"/>
  <c r="D45" i="83"/>
  <c r="L45" i="83" s="1"/>
  <c r="B45" i="83"/>
  <c r="Z44" i="83"/>
  <c r="X44" i="83"/>
  <c r="N44" i="83"/>
  <c r="L44" i="83"/>
  <c r="B44" i="83"/>
  <c r="V43" i="83"/>
  <c r="T43" i="83"/>
  <c r="P43" i="83"/>
  <c r="N43" i="83"/>
  <c r="J43" i="83"/>
  <c r="H43" i="83"/>
  <c r="D43" i="83"/>
  <c r="L43" i="83" s="1"/>
  <c r="B43" i="83"/>
  <c r="Z42" i="83"/>
  <c r="X42" i="83"/>
  <c r="V42" i="83"/>
  <c r="R42" i="83"/>
  <c r="N42" i="83"/>
  <c r="L42" i="83"/>
  <c r="B42" i="83"/>
  <c r="Z41" i="83"/>
  <c r="X41" i="83"/>
  <c r="N41" i="83"/>
  <c r="L41" i="83"/>
  <c r="J41" i="83"/>
  <c r="B41" i="83"/>
  <c r="Z40" i="83"/>
  <c r="X40" i="83"/>
  <c r="N40" i="83"/>
  <c r="L40" i="83"/>
  <c r="B40" i="83"/>
  <c r="Z39" i="83"/>
  <c r="X39" i="83"/>
  <c r="V39" i="83"/>
  <c r="N39" i="83"/>
  <c r="L39" i="83"/>
  <c r="B39" i="83"/>
  <c r="Z38" i="83"/>
  <c r="X38" i="83"/>
  <c r="V38" i="83"/>
  <c r="N38" i="83"/>
  <c r="L38" i="83"/>
  <c r="B38" i="83"/>
  <c r="Z37" i="83"/>
  <c r="X37" i="83"/>
  <c r="V37" i="83"/>
  <c r="N37" i="83"/>
  <c r="L37" i="83"/>
  <c r="J37" i="83"/>
  <c r="B37" i="83"/>
  <c r="Z36" i="83"/>
  <c r="X36" i="83"/>
  <c r="R36" i="83"/>
  <c r="N36" i="83"/>
  <c r="L36" i="83"/>
  <c r="J36" i="83"/>
  <c r="B36" i="83"/>
  <c r="Z35" i="83"/>
  <c r="X35" i="83"/>
  <c r="N35" i="83"/>
  <c r="L35" i="83"/>
  <c r="J35" i="83"/>
  <c r="B35" i="83"/>
  <c r="Z34" i="83"/>
  <c r="X34" i="83"/>
  <c r="R34" i="83"/>
  <c r="N34" i="83"/>
  <c r="L34" i="83"/>
  <c r="B34" i="83"/>
  <c r="Z33" i="83"/>
  <c r="X33" i="83"/>
  <c r="V33" i="83"/>
  <c r="N33" i="83"/>
  <c r="L33" i="83"/>
  <c r="B33" i="83"/>
  <c r="T32" i="83"/>
  <c r="Z32" i="83" s="1"/>
  <c r="P32" i="83"/>
  <c r="X32" i="83" s="1"/>
  <c r="N32" i="83"/>
  <c r="L32" i="83"/>
  <c r="J32" i="83"/>
  <c r="H32" i="83"/>
  <c r="D32" i="83"/>
  <c r="B32" i="83"/>
  <c r="Z31" i="83"/>
  <c r="X31" i="83"/>
  <c r="N31" i="83"/>
  <c r="L31" i="83"/>
  <c r="J31" i="83"/>
  <c r="B31" i="83"/>
  <c r="Z30" i="83"/>
  <c r="X30" i="83"/>
  <c r="R30" i="83"/>
  <c r="N30" i="83"/>
  <c r="L30" i="83"/>
  <c r="J30" i="83"/>
  <c r="B30" i="83"/>
  <c r="Z29" i="83"/>
  <c r="X29" i="83"/>
  <c r="V29" i="83"/>
  <c r="N29" i="83"/>
  <c r="L29" i="83"/>
  <c r="J29" i="83"/>
  <c r="B29" i="83"/>
  <c r="Z28" i="83"/>
  <c r="X28" i="83"/>
  <c r="N28" i="83"/>
  <c r="L28" i="83"/>
  <c r="J28" i="83"/>
  <c r="B28" i="83"/>
  <c r="Z27" i="83"/>
  <c r="X27" i="83"/>
  <c r="N27" i="83"/>
  <c r="L27" i="83"/>
  <c r="J27" i="83"/>
  <c r="B27" i="83"/>
  <c r="Z26" i="83"/>
  <c r="X26" i="83"/>
  <c r="N26" i="83"/>
  <c r="L26" i="83"/>
  <c r="B26" i="83"/>
  <c r="Z25" i="83"/>
  <c r="X25" i="83"/>
  <c r="V25" i="83"/>
  <c r="N25" i="83"/>
  <c r="L25" i="83"/>
  <c r="J25" i="83"/>
  <c r="B25" i="83"/>
  <c r="Z24" i="83"/>
  <c r="X24" i="83"/>
  <c r="N24" i="83"/>
  <c r="L24" i="83"/>
  <c r="J24" i="83"/>
  <c r="B24" i="83"/>
  <c r="Z23" i="83"/>
  <c r="X23" i="83"/>
  <c r="V23" i="83"/>
  <c r="N23" i="83"/>
  <c r="L23" i="83"/>
  <c r="J23" i="83"/>
  <c r="B23" i="83"/>
  <c r="Z22" i="83"/>
  <c r="X22" i="83"/>
  <c r="T22" i="83"/>
  <c r="P22" i="83"/>
  <c r="J22" i="83"/>
  <c r="H22" i="83"/>
  <c r="N22" i="83" s="1"/>
  <c r="D22" i="83"/>
  <c r="L22" i="83" s="1"/>
  <c r="B22" i="83"/>
  <c r="Z21" i="83"/>
  <c r="X21" i="83"/>
  <c r="V21" i="83"/>
  <c r="T21" i="83"/>
  <c r="R21" i="83"/>
  <c r="P21" i="83"/>
  <c r="J21" i="83"/>
  <c r="H21" i="83"/>
  <c r="D21" i="83"/>
  <c r="L21" i="83" s="1"/>
  <c r="V19" i="83"/>
  <c r="J19" i="83"/>
  <c r="H19" i="83"/>
  <c r="H80" i="83" s="1"/>
  <c r="F19" i="83"/>
  <c r="Z17" i="83"/>
  <c r="X17" i="83"/>
  <c r="V17" i="83"/>
  <c r="N17" i="83"/>
  <c r="L17" i="83"/>
  <c r="J17" i="83"/>
  <c r="B17" i="83"/>
  <c r="V16" i="83"/>
  <c r="T16" i="83"/>
  <c r="Z16" i="83" s="1"/>
  <c r="P16" i="83"/>
  <c r="X16" i="83" s="1"/>
  <c r="L16" i="83"/>
  <c r="H16" i="83"/>
  <c r="N16" i="83" s="1"/>
  <c r="D16" i="83"/>
  <c r="Z14" i="83"/>
  <c r="P14" i="83"/>
  <c r="X14" i="83" s="1"/>
  <c r="N14" i="83"/>
  <c r="D14" i="83"/>
  <c r="L14" i="83" s="1"/>
  <c r="B14" i="83"/>
  <c r="Z13" i="83"/>
  <c r="P13" i="83"/>
  <c r="X13" i="83" s="1"/>
  <c r="N13" i="83"/>
  <c r="D13" i="83"/>
  <c r="D12" i="83" s="1"/>
  <c r="B13" i="83"/>
  <c r="Z12" i="83"/>
  <c r="T12" i="83"/>
  <c r="V74" i="83" s="1"/>
  <c r="P12" i="83"/>
  <c r="R64" i="83" s="1"/>
  <c r="N12" i="83"/>
  <c r="H12" i="83"/>
  <c r="J74" i="83" s="1"/>
  <c r="D6" i="83"/>
  <c r="D4" i="83"/>
  <c r="V85" i="82"/>
  <c r="V82" i="82"/>
  <c r="Z80" i="82"/>
  <c r="X80" i="82"/>
  <c r="V80" i="82"/>
  <c r="R80" i="82"/>
  <c r="N80" i="82"/>
  <c r="L80" i="82"/>
  <c r="T76" i="82"/>
  <c r="Z76" i="82" s="1"/>
  <c r="P76" i="82"/>
  <c r="X76" i="82" s="1"/>
  <c r="N76" i="82"/>
  <c r="L76" i="82"/>
  <c r="H76" i="82"/>
  <c r="D76" i="82"/>
  <c r="Z74" i="82"/>
  <c r="X74" i="82"/>
  <c r="N74" i="82"/>
  <c r="L74" i="82"/>
  <c r="J74" i="82"/>
  <c r="B74" i="82"/>
  <c r="Z73" i="82"/>
  <c r="V73" i="82"/>
  <c r="T73" i="82"/>
  <c r="P73" i="82"/>
  <c r="X73" i="82" s="1"/>
  <c r="J73" i="82"/>
  <c r="H73" i="82"/>
  <c r="D73" i="82"/>
  <c r="B73" i="82"/>
  <c r="Z72" i="82"/>
  <c r="X72" i="82"/>
  <c r="N72" i="82"/>
  <c r="L72" i="82"/>
  <c r="J72" i="82"/>
  <c r="B72" i="82"/>
  <c r="Z71" i="82"/>
  <c r="X71" i="82"/>
  <c r="V71" i="82"/>
  <c r="N71" i="82"/>
  <c r="L71" i="82"/>
  <c r="J71" i="82"/>
  <c r="B71" i="82"/>
  <c r="X70" i="82"/>
  <c r="V70" i="82"/>
  <c r="T70" i="82"/>
  <c r="Z70" i="82" s="1"/>
  <c r="P70" i="82"/>
  <c r="L70" i="82"/>
  <c r="H70" i="82"/>
  <c r="N70" i="82" s="1"/>
  <c r="D70" i="82"/>
  <c r="B70" i="82"/>
  <c r="Z69" i="82"/>
  <c r="X69" i="82"/>
  <c r="V69" i="82"/>
  <c r="N69" i="82"/>
  <c r="L69" i="82"/>
  <c r="J69" i="82"/>
  <c r="B69" i="82"/>
  <c r="Z68" i="82"/>
  <c r="X68" i="82"/>
  <c r="V68" i="82"/>
  <c r="N68" i="82"/>
  <c r="L68" i="82"/>
  <c r="B68" i="82"/>
  <c r="Z67" i="82"/>
  <c r="X67" i="82"/>
  <c r="V67" i="82"/>
  <c r="N67" i="82"/>
  <c r="L67" i="82"/>
  <c r="J67" i="82"/>
  <c r="B67" i="82"/>
  <c r="Z66" i="82"/>
  <c r="X66" i="82"/>
  <c r="N66" i="82"/>
  <c r="L66" i="82"/>
  <c r="B66" i="82"/>
  <c r="Z65" i="82"/>
  <c r="X65" i="82"/>
  <c r="V65" i="82"/>
  <c r="N65" i="82"/>
  <c r="L65" i="82"/>
  <c r="J65" i="82"/>
  <c r="B65" i="82"/>
  <c r="V64" i="82"/>
  <c r="T64" i="82"/>
  <c r="Z64" i="82" s="1"/>
  <c r="R64" i="82"/>
  <c r="P64" i="82"/>
  <c r="L64" i="82"/>
  <c r="H64" i="82"/>
  <c r="N64" i="82" s="1"/>
  <c r="D64" i="82"/>
  <c r="B64" i="82"/>
  <c r="Z63" i="82"/>
  <c r="X63" i="82"/>
  <c r="V63" i="82"/>
  <c r="N63" i="82"/>
  <c r="L63" i="82"/>
  <c r="J63" i="82"/>
  <c r="B63" i="82"/>
  <c r="Z62" i="82"/>
  <c r="X62" i="82"/>
  <c r="N62" i="82"/>
  <c r="L62" i="82"/>
  <c r="J62" i="82"/>
  <c r="B62" i="82"/>
  <c r="Z61" i="82"/>
  <c r="X61" i="82"/>
  <c r="V61" i="82"/>
  <c r="N61" i="82"/>
  <c r="L61" i="82"/>
  <c r="B61" i="82"/>
  <c r="Z60" i="82"/>
  <c r="X60" i="82"/>
  <c r="R60" i="82"/>
  <c r="N60" i="82"/>
  <c r="L60" i="82"/>
  <c r="B60" i="82"/>
  <c r="V59" i="82"/>
  <c r="T59" i="82"/>
  <c r="P59" i="82"/>
  <c r="N59" i="82"/>
  <c r="J59" i="82"/>
  <c r="H59" i="82"/>
  <c r="D59" i="82"/>
  <c r="L59" i="82" s="1"/>
  <c r="B59" i="82"/>
  <c r="Z58" i="82"/>
  <c r="X58" i="82"/>
  <c r="V58" i="82"/>
  <c r="N58" i="82"/>
  <c r="L58" i="82"/>
  <c r="B58" i="82"/>
  <c r="T57" i="82"/>
  <c r="Z57" i="82" s="1"/>
  <c r="P57" i="82"/>
  <c r="X57" i="82" s="1"/>
  <c r="N57" i="82"/>
  <c r="L57" i="82"/>
  <c r="J57" i="82"/>
  <c r="H57" i="82"/>
  <c r="D57" i="82"/>
  <c r="B57" i="82"/>
  <c r="Z56" i="82"/>
  <c r="X56" i="82"/>
  <c r="V56" i="82"/>
  <c r="N56" i="82"/>
  <c r="L56" i="82"/>
  <c r="B56" i="82"/>
  <c r="Z55" i="82"/>
  <c r="X55" i="82"/>
  <c r="V55" i="82"/>
  <c r="N55" i="82"/>
  <c r="L55" i="82"/>
  <c r="J55" i="82"/>
  <c r="F55" i="82"/>
  <c r="B55" i="82"/>
  <c r="T54" i="82"/>
  <c r="P54" i="82"/>
  <c r="J54" i="82"/>
  <c r="H54" i="82"/>
  <c r="N54" i="82" s="1"/>
  <c r="D54" i="82"/>
  <c r="L54" i="82" s="1"/>
  <c r="B54" i="82"/>
  <c r="Z53" i="82"/>
  <c r="X53" i="82"/>
  <c r="V53" i="82"/>
  <c r="N53" i="82"/>
  <c r="L53" i="82"/>
  <c r="J53" i="82"/>
  <c r="B53" i="82"/>
  <c r="Z52" i="82"/>
  <c r="T52" i="82"/>
  <c r="P52" i="82"/>
  <c r="X52" i="82" s="1"/>
  <c r="H52" i="82"/>
  <c r="N52" i="82" s="1"/>
  <c r="D52" i="82"/>
  <c r="L52" i="82" s="1"/>
  <c r="B52" i="82"/>
  <c r="Z51" i="82"/>
  <c r="X51" i="82"/>
  <c r="V51" i="82"/>
  <c r="N51" i="82"/>
  <c r="L51" i="82"/>
  <c r="J51" i="82"/>
  <c r="B51" i="82"/>
  <c r="V50" i="82"/>
  <c r="T50" i="82"/>
  <c r="Z50" i="82" s="1"/>
  <c r="P50" i="82"/>
  <c r="X50" i="82" s="1"/>
  <c r="L50" i="82"/>
  <c r="H50" i="82"/>
  <c r="N50" i="82" s="1"/>
  <c r="D50" i="82"/>
  <c r="B50" i="82"/>
  <c r="Z49" i="82"/>
  <c r="X49" i="82"/>
  <c r="V49" i="82"/>
  <c r="N49" i="82"/>
  <c r="L49" i="82"/>
  <c r="J49" i="82"/>
  <c r="B49" i="82"/>
  <c r="V48" i="82"/>
  <c r="T48" i="82"/>
  <c r="Z48" i="82" s="1"/>
  <c r="R48" i="82"/>
  <c r="P48" i="82"/>
  <c r="L48" i="82"/>
  <c r="H48" i="82"/>
  <c r="N48" i="82" s="1"/>
  <c r="D48" i="82"/>
  <c r="B48" i="82"/>
  <c r="X47" i="82"/>
  <c r="Z47" i="82" s="1"/>
  <c r="V47" i="82"/>
  <c r="N47" i="82"/>
  <c r="L47" i="82"/>
  <c r="J47" i="82"/>
  <c r="B47" i="82"/>
  <c r="X46" i="82"/>
  <c r="Z46" i="82" s="1"/>
  <c r="L46" i="82"/>
  <c r="N46" i="82" s="1"/>
  <c r="J46" i="82"/>
  <c r="B46" i="82"/>
  <c r="V45" i="82"/>
  <c r="T45" i="82"/>
  <c r="P45" i="82"/>
  <c r="X45" i="82" s="1"/>
  <c r="Z45" i="82" s="1"/>
  <c r="J45" i="82"/>
  <c r="H45" i="82"/>
  <c r="D45" i="82"/>
  <c r="B45" i="82"/>
  <c r="Z44" i="82"/>
  <c r="X44" i="82"/>
  <c r="N44" i="82"/>
  <c r="L44" i="82"/>
  <c r="J44" i="82"/>
  <c r="B44" i="82"/>
  <c r="Z43" i="82"/>
  <c r="X43" i="82"/>
  <c r="V43" i="82"/>
  <c r="T43" i="82"/>
  <c r="R43" i="82"/>
  <c r="P43" i="82"/>
  <c r="J43" i="82"/>
  <c r="H43" i="82"/>
  <c r="N43" i="82" s="1"/>
  <c r="D43" i="82"/>
  <c r="L43" i="82" s="1"/>
  <c r="B43" i="82"/>
  <c r="Z42" i="82"/>
  <c r="X42" i="82"/>
  <c r="N42" i="82"/>
  <c r="L42" i="82"/>
  <c r="B42" i="82"/>
  <c r="Z41" i="82"/>
  <c r="X41" i="82"/>
  <c r="V41" i="82"/>
  <c r="T41" i="82"/>
  <c r="P41" i="82"/>
  <c r="N41" i="82"/>
  <c r="J41" i="82"/>
  <c r="H41" i="82"/>
  <c r="D41" i="82"/>
  <c r="L41" i="82" s="1"/>
  <c r="B41" i="82"/>
  <c r="Z40" i="82"/>
  <c r="X40" i="82"/>
  <c r="R40" i="82"/>
  <c r="N40" i="82"/>
  <c r="L40" i="82"/>
  <c r="B40" i="82"/>
  <c r="Z39" i="82"/>
  <c r="X39" i="82"/>
  <c r="V39" i="82"/>
  <c r="N39" i="82"/>
  <c r="L39" i="82"/>
  <c r="J39" i="82"/>
  <c r="B39" i="82"/>
  <c r="Z38" i="82"/>
  <c r="X38" i="82"/>
  <c r="N38" i="82"/>
  <c r="L38" i="82"/>
  <c r="J38" i="82"/>
  <c r="B38" i="82"/>
  <c r="Z37" i="82"/>
  <c r="X37" i="82"/>
  <c r="V37" i="82"/>
  <c r="N37" i="82"/>
  <c r="L37" i="82"/>
  <c r="J37" i="82"/>
  <c r="B37" i="82"/>
  <c r="Z36" i="82"/>
  <c r="X36" i="82"/>
  <c r="N36" i="82"/>
  <c r="L36" i="82"/>
  <c r="B36" i="82"/>
  <c r="Z35" i="82"/>
  <c r="X35" i="82"/>
  <c r="V35" i="82"/>
  <c r="R35" i="82"/>
  <c r="N35" i="82"/>
  <c r="L35" i="82"/>
  <c r="J35" i="82"/>
  <c r="B35" i="82"/>
  <c r="Z34" i="82"/>
  <c r="X34" i="82"/>
  <c r="N34" i="82"/>
  <c r="L34" i="82"/>
  <c r="J34" i="82"/>
  <c r="B34" i="82"/>
  <c r="Z33" i="82"/>
  <c r="X33" i="82"/>
  <c r="V33" i="82"/>
  <c r="N33" i="82"/>
  <c r="L33" i="82"/>
  <c r="J33" i="82"/>
  <c r="B33" i="82"/>
  <c r="Z32" i="82"/>
  <c r="X32" i="82"/>
  <c r="R32" i="82"/>
  <c r="N32" i="82"/>
  <c r="L32" i="82"/>
  <c r="B32" i="82"/>
  <c r="Z31" i="82"/>
  <c r="X31" i="82"/>
  <c r="V31" i="82"/>
  <c r="N31" i="82"/>
  <c r="L31" i="82"/>
  <c r="J31" i="82"/>
  <c r="B31" i="82"/>
  <c r="T30" i="82"/>
  <c r="Z30" i="82" s="1"/>
  <c r="P30" i="82"/>
  <c r="X30" i="82" s="1"/>
  <c r="N30" i="82"/>
  <c r="L30" i="82"/>
  <c r="J30" i="82"/>
  <c r="H30" i="82"/>
  <c r="D30" i="82"/>
  <c r="B30" i="82"/>
  <c r="Z29" i="82"/>
  <c r="X29" i="82"/>
  <c r="V29" i="82"/>
  <c r="N29" i="82"/>
  <c r="L29" i="82"/>
  <c r="J29" i="82"/>
  <c r="B29" i="82"/>
  <c r="Z28" i="82"/>
  <c r="X28" i="82"/>
  <c r="N28" i="82"/>
  <c r="L28" i="82"/>
  <c r="J28" i="82"/>
  <c r="B28" i="82"/>
  <c r="Z27" i="82"/>
  <c r="X27" i="82"/>
  <c r="V27" i="82"/>
  <c r="N27" i="82"/>
  <c r="L27" i="82"/>
  <c r="J27" i="82"/>
  <c r="B27" i="82"/>
  <c r="Z26" i="82"/>
  <c r="X26" i="82"/>
  <c r="V26" i="82"/>
  <c r="N26" i="82"/>
  <c r="L26" i="82"/>
  <c r="B26" i="82"/>
  <c r="Z25" i="82"/>
  <c r="X25" i="82"/>
  <c r="V25" i="82"/>
  <c r="N25" i="82"/>
  <c r="L25" i="82"/>
  <c r="J25" i="82"/>
  <c r="B25" i="82"/>
  <c r="Z24" i="82"/>
  <c r="X24" i="82"/>
  <c r="N24" i="82"/>
  <c r="L24" i="82"/>
  <c r="J24" i="82"/>
  <c r="B24" i="82"/>
  <c r="Z23" i="82"/>
  <c r="X23" i="82"/>
  <c r="V23" i="82"/>
  <c r="N23" i="82"/>
  <c r="L23" i="82"/>
  <c r="J23" i="82"/>
  <c r="B23" i="82"/>
  <c r="Z22" i="82"/>
  <c r="X22" i="82"/>
  <c r="V22" i="82"/>
  <c r="N22" i="82"/>
  <c r="L22" i="82"/>
  <c r="B22" i="82"/>
  <c r="V21" i="82"/>
  <c r="T21" i="82"/>
  <c r="Z21" i="82" s="1"/>
  <c r="P21" i="82"/>
  <c r="X21" i="82" s="1"/>
  <c r="N21" i="82"/>
  <c r="L21" i="82"/>
  <c r="J21" i="82"/>
  <c r="H21" i="82"/>
  <c r="D21" i="82"/>
  <c r="B21" i="82"/>
  <c r="V20" i="82"/>
  <c r="T20" i="82"/>
  <c r="P20" i="82"/>
  <c r="X20" i="82" s="1"/>
  <c r="H20" i="82"/>
  <c r="H78" i="82" s="1"/>
  <c r="D20" i="82"/>
  <c r="V18" i="82"/>
  <c r="T18" i="82"/>
  <c r="R18" i="82"/>
  <c r="P18" i="82"/>
  <c r="H18" i="82"/>
  <c r="N18" i="82" s="1"/>
  <c r="Z16" i="82"/>
  <c r="X16" i="82"/>
  <c r="V16" i="82"/>
  <c r="N16" i="82"/>
  <c r="L16" i="82"/>
  <c r="J16" i="82"/>
  <c r="B16" i="82"/>
  <c r="Z15" i="82"/>
  <c r="V15" i="82"/>
  <c r="T15" i="82"/>
  <c r="P15" i="82"/>
  <c r="X15" i="82" s="1"/>
  <c r="N15" i="82"/>
  <c r="L15" i="82"/>
  <c r="J15" i="82"/>
  <c r="H15" i="82"/>
  <c r="D15" i="82"/>
  <c r="Z13" i="82"/>
  <c r="P13" i="82"/>
  <c r="X13" i="82" s="1"/>
  <c r="N13" i="82"/>
  <c r="D13" i="82"/>
  <c r="D12" i="82" s="1"/>
  <c r="F46" i="82" s="1"/>
  <c r="B13" i="82"/>
  <c r="Z12" i="82"/>
  <c r="T12" i="82"/>
  <c r="V72" i="82" s="1"/>
  <c r="P12" i="82"/>
  <c r="R42" i="82" s="1"/>
  <c r="N12" i="82"/>
  <c r="H12" i="82"/>
  <c r="J85" i="82" s="1"/>
  <c r="D6" i="82"/>
  <c r="D4" i="82"/>
  <c r="V94" i="81"/>
  <c r="Z89" i="81"/>
  <c r="X89" i="81"/>
  <c r="V89" i="81"/>
  <c r="R89" i="81"/>
  <c r="N89" i="81"/>
  <c r="L89" i="81"/>
  <c r="F89" i="81"/>
  <c r="R87" i="81"/>
  <c r="Z85" i="81"/>
  <c r="P85" i="81"/>
  <c r="X85" i="81" s="1"/>
  <c r="N85" i="81"/>
  <c r="L85" i="81"/>
  <c r="D85" i="81"/>
  <c r="B85" i="81"/>
  <c r="Z84" i="81"/>
  <c r="P84" i="81"/>
  <c r="X84" i="81" s="1"/>
  <c r="N84" i="81"/>
  <c r="L84" i="81"/>
  <c r="F84" i="81"/>
  <c r="D84" i="81"/>
  <c r="B84" i="81"/>
  <c r="T83" i="81"/>
  <c r="Z83" i="81" s="1"/>
  <c r="H83" i="81"/>
  <c r="N83" i="81" s="1"/>
  <c r="D83" i="81"/>
  <c r="L83" i="81" s="1"/>
  <c r="X81" i="81"/>
  <c r="Z81" i="81" s="1"/>
  <c r="R81" i="81"/>
  <c r="L81" i="81"/>
  <c r="N81" i="81" s="1"/>
  <c r="F81" i="81"/>
  <c r="B81" i="81"/>
  <c r="Z80" i="81"/>
  <c r="X80" i="81"/>
  <c r="T80" i="81"/>
  <c r="R80" i="81"/>
  <c r="P80" i="81"/>
  <c r="H80" i="81"/>
  <c r="N80" i="81" s="1"/>
  <c r="F80" i="81"/>
  <c r="D80" i="81"/>
  <c r="L80" i="81" s="1"/>
  <c r="B80" i="81"/>
  <c r="Z79" i="81"/>
  <c r="X79" i="81"/>
  <c r="R79" i="81"/>
  <c r="N79" i="81"/>
  <c r="L79" i="81"/>
  <c r="B79" i="81"/>
  <c r="Z78" i="81"/>
  <c r="X78" i="81"/>
  <c r="V78" i="81"/>
  <c r="T78" i="81"/>
  <c r="R78" i="81"/>
  <c r="P78" i="81"/>
  <c r="N78" i="81"/>
  <c r="H78" i="81"/>
  <c r="D78" i="81"/>
  <c r="L78" i="81" s="1"/>
  <c r="B78" i="81"/>
  <c r="Z77" i="81"/>
  <c r="X77" i="81"/>
  <c r="R77" i="81"/>
  <c r="L77" i="81"/>
  <c r="N77" i="81" s="1"/>
  <c r="F77" i="81"/>
  <c r="B77" i="81"/>
  <c r="V76" i="81"/>
  <c r="T76" i="81"/>
  <c r="R76" i="81"/>
  <c r="P76" i="81"/>
  <c r="N76" i="81"/>
  <c r="H76" i="81"/>
  <c r="F76" i="81"/>
  <c r="D76" i="81"/>
  <c r="L76" i="81" s="1"/>
  <c r="B76" i="81"/>
  <c r="Z75" i="81"/>
  <c r="X75" i="81"/>
  <c r="V75" i="81"/>
  <c r="R75" i="81"/>
  <c r="N75" i="81"/>
  <c r="L75" i="81"/>
  <c r="F75" i="81"/>
  <c r="B75" i="81"/>
  <c r="Z74" i="81"/>
  <c r="X74" i="81"/>
  <c r="R74" i="81"/>
  <c r="N74" i="81"/>
  <c r="L74" i="81"/>
  <c r="B74" i="81"/>
  <c r="Z73" i="81"/>
  <c r="X73" i="81"/>
  <c r="R73" i="81"/>
  <c r="N73" i="81"/>
  <c r="L73" i="81"/>
  <c r="F73" i="81"/>
  <c r="B73" i="81"/>
  <c r="Z72" i="81"/>
  <c r="X72" i="81"/>
  <c r="V72" i="81"/>
  <c r="N72" i="81"/>
  <c r="L72" i="81"/>
  <c r="B72" i="81"/>
  <c r="Z71" i="81"/>
  <c r="X71" i="81"/>
  <c r="V71" i="81"/>
  <c r="R71" i="81"/>
  <c r="N71" i="81"/>
  <c r="L71" i="81"/>
  <c r="F71" i="81"/>
  <c r="B71" i="81"/>
  <c r="Z70" i="81"/>
  <c r="X70" i="81"/>
  <c r="R70" i="81"/>
  <c r="N70" i="81"/>
  <c r="L70" i="81"/>
  <c r="B70" i="81"/>
  <c r="Z69" i="81"/>
  <c r="X69" i="81"/>
  <c r="R69" i="81"/>
  <c r="N69" i="81"/>
  <c r="L69" i="81"/>
  <c r="F69" i="81"/>
  <c r="B69" i="81"/>
  <c r="Z68" i="81"/>
  <c r="X68" i="81"/>
  <c r="V68" i="81"/>
  <c r="T68" i="81"/>
  <c r="R68" i="81"/>
  <c r="P68" i="81"/>
  <c r="H68" i="81"/>
  <c r="N68" i="81" s="1"/>
  <c r="F68" i="81"/>
  <c r="D68" i="81"/>
  <c r="L68" i="81" s="1"/>
  <c r="B68" i="81"/>
  <c r="Z67" i="81"/>
  <c r="X67" i="81"/>
  <c r="R67" i="81"/>
  <c r="N67" i="81"/>
  <c r="L67" i="81"/>
  <c r="F67" i="81"/>
  <c r="B67" i="81"/>
  <c r="X66" i="81"/>
  <c r="Z66" i="81" s="1"/>
  <c r="N66" i="81"/>
  <c r="L66" i="81"/>
  <c r="J66" i="81"/>
  <c r="B66" i="81"/>
  <c r="T65" i="81"/>
  <c r="R65" i="81"/>
  <c r="P65" i="81"/>
  <c r="X65" i="81" s="1"/>
  <c r="H65" i="81"/>
  <c r="N65" i="81" s="1"/>
  <c r="D65" i="81"/>
  <c r="B65" i="81"/>
  <c r="Z64" i="81"/>
  <c r="X64" i="81"/>
  <c r="R64" i="81"/>
  <c r="N64" i="81"/>
  <c r="L64" i="81"/>
  <c r="B64" i="81"/>
  <c r="X63" i="81"/>
  <c r="Z63" i="81" s="1"/>
  <c r="L63" i="81"/>
  <c r="N63" i="81" s="1"/>
  <c r="F63" i="81"/>
  <c r="B63" i="81"/>
  <c r="Z62" i="81"/>
  <c r="X62" i="81"/>
  <c r="V62" i="81"/>
  <c r="N62" i="81"/>
  <c r="L62" i="81"/>
  <c r="F62" i="81"/>
  <c r="B62" i="81"/>
  <c r="X61" i="81"/>
  <c r="Z61" i="81" s="1"/>
  <c r="R61" i="81"/>
  <c r="L61" i="81"/>
  <c r="N61" i="81" s="1"/>
  <c r="F61" i="81"/>
  <c r="B61" i="81"/>
  <c r="T60" i="81"/>
  <c r="R60" i="81"/>
  <c r="P60" i="81"/>
  <c r="J60" i="81"/>
  <c r="H60" i="81"/>
  <c r="F60" i="81"/>
  <c r="D60" i="81"/>
  <c r="L60" i="81" s="1"/>
  <c r="N60" i="81" s="1"/>
  <c r="B60" i="81"/>
  <c r="Z59" i="81"/>
  <c r="X59" i="81"/>
  <c r="R59" i="81"/>
  <c r="N59" i="81"/>
  <c r="L59" i="81"/>
  <c r="F59" i="81"/>
  <c r="B59" i="81"/>
  <c r="Z58" i="81"/>
  <c r="X58" i="81"/>
  <c r="R58" i="81"/>
  <c r="N58" i="81"/>
  <c r="L58" i="81"/>
  <c r="B58" i="81"/>
  <c r="Z57" i="81"/>
  <c r="X57" i="81"/>
  <c r="R57" i="81"/>
  <c r="N57" i="81"/>
  <c r="L57" i="81"/>
  <c r="F57" i="81"/>
  <c r="B57" i="81"/>
  <c r="Z56" i="81"/>
  <c r="X56" i="81"/>
  <c r="N56" i="81"/>
  <c r="L56" i="81"/>
  <c r="B56" i="81"/>
  <c r="V55" i="81"/>
  <c r="T55" i="81"/>
  <c r="Z55" i="81" s="1"/>
  <c r="P55" i="81"/>
  <c r="X55" i="81" s="1"/>
  <c r="L55" i="81"/>
  <c r="H55" i="81"/>
  <c r="N55" i="81" s="1"/>
  <c r="D55" i="81"/>
  <c r="B55" i="81"/>
  <c r="X54" i="81"/>
  <c r="Z54" i="81" s="1"/>
  <c r="N54" i="81"/>
  <c r="L54" i="81"/>
  <c r="J54" i="81"/>
  <c r="B54" i="81"/>
  <c r="T53" i="81"/>
  <c r="R53" i="81"/>
  <c r="P53" i="81"/>
  <c r="X53" i="81" s="1"/>
  <c r="H53" i="81"/>
  <c r="D53" i="81"/>
  <c r="B53" i="81"/>
  <c r="Z52" i="81"/>
  <c r="X52" i="81"/>
  <c r="R52" i="81"/>
  <c r="N52" i="81"/>
  <c r="L52" i="81"/>
  <c r="J52" i="81"/>
  <c r="B52" i="81"/>
  <c r="T51" i="81"/>
  <c r="Z51" i="81" s="1"/>
  <c r="R51" i="81"/>
  <c r="P51" i="81"/>
  <c r="X51" i="81" s="1"/>
  <c r="H51" i="81"/>
  <c r="D51" i="81"/>
  <c r="B51" i="81"/>
  <c r="Z50" i="81"/>
  <c r="X50" i="81"/>
  <c r="R50" i="81"/>
  <c r="N50" i="81"/>
  <c r="L50" i="81"/>
  <c r="B50" i="81"/>
  <c r="X49" i="81"/>
  <c r="T49" i="81"/>
  <c r="Z49" i="81" s="1"/>
  <c r="P49" i="81"/>
  <c r="H49" i="81"/>
  <c r="N49" i="81" s="1"/>
  <c r="D49" i="81"/>
  <c r="L49" i="81" s="1"/>
  <c r="B49" i="81"/>
  <c r="Z48" i="81"/>
  <c r="X48" i="81"/>
  <c r="N48" i="81"/>
  <c r="L48" i="81"/>
  <c r="F48" i="81"/>
  <c r="B48" i="81"/>
  <c r="T47" i="81"/>
  <c r="P47" i="81"/>
  <c r="H47" i="81"/>
  <c r="N47" i="81" s="1"/>
  <c r="F47" i="81"/>
  <c r="D47" i="81"/>
  <c r="L47" i="81" s="1"/>
  <c r="B47" i="81"/>
  <c r="Z46" i="81"/>
  <c r="X46" i="81"/>
  <c r="N46" i="81"/>
  <c r="L46" i="81"/>
  <c r="F46" i="81"/>
  <c r="B46" i="81"/>
  <c r="Z45" i="81"/>
  <c r="X45" i="81"/>
  <c r="R45" i="81"/>
  <c r="N45" i="81"/>
  <c r="L45" i="81"/>
  <c r="F45" i="81"/>
  <c r="B45" i="81"/>
  <c r="T44" i="81"/>
  <c r="R44" i="81"/>
  <c r="P44" i="81"/>
  <c r="H44" i="81"/>
  <c r="F44" i="81"/>
  <c r="D44" i="81"/>
  <c r="L44" i="81" s="1"/>
  <c r="N44" i="81" s="1"/>
  <c r="B44" i="81"/>
  <c r="Z43" i="81"/>
  <c r="X43" i="81"/>
  <c r="R43" i="81"/>
  <c r="N43" i="81"/>
  <c r="L43" i="81"/>
  <c r="F43" i="81"/>
  <c r="B43" i="81"/>
  <c r="T42" i="81"/>
  <c r="Z42" i="81" s="1"/>
  <c r="R42" i="81"/>
  <c r="P42" i="81"/>
  <c r="N42" i="81"/>
  <c r="H42" i="81"/>
  <c r="F42" i="81"/>
  <c r="D42" i="81"/>
  <c r="L42" i="81" s="1"/>
  <c r="B42" i="81"/>
  <c r="Z41" i="81"/>
  <c r="X41" i="81"/>
  <c r="V41" i="81"/>
  <c r="R41" i="81"/>
  <c r="N41" i="81"/>
  <c r="L41" i="81"/>
  <c r="F41" i="81"/>
  <c r="B41" i="81"/>
  <c r="Z40" i="81"/>
  <c r="T40" i="81"/>
  <c r="R40" i="81"/>
  <c r="P40" i="81"/>
  <c r="X40" i="81" s="1"/>
  <c r="N40" i="81"/>
  <c r="L40" i="81"/>
  <c r="J40" i="81"/>
  <c r="H40" i="81"/>
  <c r="F40" i="81"/>
  <c r="D40" i="81"/>
  <c r="B40" i="81"/>
  <c r="Z39" i="81"/>
  <c r="X39" i="81"/>
  <c r="R39" i="81"/>
  <c r="N39" i="81"/>
  <c r="L39" i="81"/>
  <c r="F39" i="81"/>
  <c r="B39" i="81"/>
  <c r="Z38" i="81"/>
  <c r="X38" i="81"/>
  <c r="N38" i="81"/>
  <c r="L38" i="81"/>
  <c r="F38" i="81"/>
  <c r="B38" i="81"/>
  <c r="Z37" i="81"/>
  <c r="X37" i="81"/>
  <c r="R37" i="81"/>
  <c r="N37" i="81"/>
  <c r="L37" i="81"/>
  <c r="F37" i="81"/>
  <c r="B37" i="81"/>
  <c r="Z36" i="81"/>
  <c r="X36" i="81"/>
  <c r="R36" i="81"/>
  <c r="N36" i="81"/>
  <c r="L36" i="81"/>
  <c r="B36" i="81"/>
  <c r="Z35" i="81"/>
  <c r="X35" i="81"/>
  <c r="R35" i="81"/>
  <c r="N35" i="81"/>
  <c r="L35" i="81"/>
  <c r="F35" i="81"/>
  <c r="B35" i="81"/>
  <c r="Z34" i="81"/>
  <c r="X34" i="81"/>
  <c r="N34" i="81"/>
  <c r="L34" i="81"/>
  <c r="F34" i="81"/>
  <c r="B34" i="81"/>
  <c r="Z33" i="81"/>
  <c r="X33" i="81"/>
  <c r="R33" i="81"/>
  <c r="N33" i="81"/>
  <c r="L33" i="81"/>
  <c r="F33" i="81"/>
  <c r="B33" i="81"/>
  <c r="Z32" i="81"/>
  <c r="X32" i="81"/>
  <c r="R32" i="81"/>
  <c r="N32" i="81"/>
  <c r="L32" i="81"/>
  <c r="B32" i="81"/>
  <c r="Z31" i="81"/>
  <c r="X31" i="81"/>
  <c r="R31" i="81"/>
  <c r="N31" i="81"/>
  <c r="L31" i="81"/>
  <c r="F31" i="81"/>
  <c r="B31" i="81"/>
  <c r="Z30" i="81"/>
  <c r="X30" i="81"/>
  <c r="N30" i="81"/>
  <c r="L30" i="81"/>
  <c r="F30" i="81"/>
  <c r="B30" i="81"/>
  <c r="Z29" i="81"/>
  <c r="T29" i="81"/>
  <c r="X29" i="81" s="1"/>
  <c r="P29" i="81"/>
  <c r="H29" i="81"/>
  <c r="N29" i="81" s="1"/>
  <c r="F29" i="81"/>
  <c r="D29" i="81"/>
  <c r="L29" i="81" s="1"/>
  <c r="B29" i="81"/>
  <c r="Z28" i="81"/>
  <c r="X28" i="81"/>
  <c r="N28" i="81"/>
  <c r="L28" i="81"/>
  <c r="F28" i="81"/>
  <c r="B28" i="81"/>
  <c r="Z27" i="81"/>
  <c r="X27" i="81"/>
  <c r="V27" i="81"/>
  <c r="R27" i="81"/>
  <c r="N27" i="81"/>
  <c r="L27" i="81"/>
  <c r="F27" i="81"/>
  <c r="B27" i="81"/>
  <c r="Z26" i="81"/>
  <c r="X26" i="81"/>
  <c r="R26" i="81"/>
  <c r="N26" i="81"/>
  <c r="L26" i="81"/>
  <c r="B26" i="81"/>
  <c r="Z25" i="81"/>
  <c r="X25" i="81"/>
  <c r="R25" i="81"/>
  <c r="N25" i="81"/>
  <c r="L25" i="81"/>
  <c r="F25" i="81"/>
  <c r="B25" i="81"/>
  <c r="Z24" i="81"/>
  <c r="X24" i="81"/>
  <c r="V24" i="81"/>
  <c r="N24" i="81"/>
  <c r="L24" i="81"/>
  <c r="F24" i="81"/>
  <c r="B24" i="81"/>
  <c r="Z23" i="81"/>
  <c r="X23" i="81"/>
  <c r="V23" i="81"/>
  <c r="R23" i="81"/>
  <c r="N23" i="81"/>
  <c r="L23" i="81"/>
  <c r="F23" i="81"/>
  <c r="B23" i="81"/>
  <c r="Z22" i="81"/>
  <c r="X22" i="81"/>
  <c r="R22" i="81"/>
  <c r="L22" i="81"/>
  <c r="N22" i="81" s="1"/>
  <c r="B22" i="81"/>
  <c r="Z21" i="81"/>
  <c r="X21" i="81"/>
  <c r="R21" i="81"/>
  <c r="N21" i="81"/>
  <c r="L21" i="81"/>
  <c r="J21" i="81"/>
  <c r="F21" i="81"/>
  <c r="B21" i="81"/>
  <c r="Z20" i="81"/>
  <c r="X20" i="81"/>
  <c r="N20" i="81"/>
  <c r="L20" i="81"/>
  <c r="J20" i="81"/>
  <c r="F20" i="81"/>
  <c r="B20" i="81"/>
  <c r="Z19" i="81"/>
  <c r="X19" i="81"/>
  <c r="T19" i="81"/>
  <c r="P19" i="81"/>
  <c r="L19" i="81"/>
  <c r="H19" i="81"/>
  <c r="F19" i="81"/>
  <c r="D19" i="81"/>
  <c r="B19" i="81"/>
  <c r="X18" i="81"/>
  <c r="Z18" i="81" s="1"/>
  <c r="V18" i="81"/>
  <c r="T18" i="81"/>
  <c r="R18" i="81"/>
  <c r="P18" i="81"/>
  <c r="H18" i="81"/>
  <c r="F18" i="81"/>
  <c r="D18" i="81"/>
  <c r="L18" i="81" s="1"/>
  <c r="N18" i="81" s="1"/>
  <c r="V16" i="81"/>
  <c r="R16" i="81"/>
  <c r="F16" i="81"/>
  <c r="Z14" i="81"/>
  <c r="X14" i="81"/>
  <c r="V14" i="81"/>
  <c r="T14" i="81"/>
  <c r="R14" i="81"/>
  <c r="P14" i="81"/>
  <c r="N14" i="81"/>
  <c r="H14" i="81"/>
  <c r="F14" i="81"/>
  <c r="D14" i="81"/>
  <c r="L14" i="81" s="1"/>
  <c r="X12" i="81"/>
  <c r="T12" i="81"/>
  <c r="V52" i="81" s="1"/>
  <c r="P12" i="81"/>
  <c r="R62" i="81" s="1"/>
  <c r="H12" i="81"/>
  <c r="D12" i="81"/>
  <c r="F66" i="81" s="1"/>
  <c r="D6" i="81"/>
  <c r="D4" i="81"/>
  <c r="F39" i="80"/>
  <c r="R36" i="80"/>
  <c r="J36" i="80"/>
  <c r="F36" i="80"/>
  <c r="Z34" i="80"/>
  <c r="X34" i="80"/>
  <c r="R34" i="80"/>
  <c r="N34" i="80"/>
  <c r="L34" i="80"/>
  <c r="F32" i="80"/>
  <c r="Z30" i="80"/>
  <c r="T30" i="80"/>
  <c r="P30" i="80"/>
  <c r="X30" i="80" s="1"/>
  <c r="N30" i="80"/>
  <c r="L30" i="80"/>
  <c r="J30" i="80"/>
  <c r="H30" i="80"/>
  <c r="F30" i="80"/>
  <c r="D30" i="80"/>
  <c r="Z28" i="80"/>
  <c r="X28" i="80"/>
  <c r="N28" i="80"/>
  <c r="L28" i="80"/>
  <c r="F28" i="80"/>
  <c r="B28" i="80"/>
  <c r="T27" i="80"/>
  <c r="Z27" i="80" s="1"/>
  <c r="P27" i="80"/>
  <c r="X27" i="80" s="1"/>
  <c r="H27" i="80"/>
  <c r="N27" i="80" s="1"/>
  <c r="F27" i="80"/>
  <c r="D27" i="80"/>
  <c r="L27" i="80" s="1"/>
  <c r="B27" i="80"/>
  <c r="Z26" i="80"/>
  <c r="X26" i="80"/>
  <c r="N26" i="80"/>
  <c r="L26" i="80"/>
  <c r="F26" i="80"/>
  <c r="B26" i="80"/>
  <c r="Z25" i="80"/>
  <c r="T25" i="80"/>
  <c r="P25" i="80"/>
  <c r="X25" i="80" s="1"/>
  <c r="H25" i="80"/>
  <c r="N25" i="80" s="1"/>
  <c r="F25" i="80"/>
  <c r="D25" i="80"/>
  <c r="L25" i="80" s="1"/>
  <c r="B25" i="80"/>
  <c r="Z24" i="80"/>
  <c r="X24" i="80"/>
  <c r="V24" i="80"/>
  <c r="N24" i="80"/>
  <c r="L24" i="80"/>
  <c r="F24" i="80"/>
  <c r="B24" i="80"/>
  <c r="Z23" i="80"/>
  <c r="T23" i="80"/>
  <c r="P23" i="80"/>
  <c r="X23" i="80" s="1"/>
  <c r="H23" i="80"/>
  <c r="N23" i="80" s="1"/>
  <c r="F23" i="80"/>
  <c r="D23" i="80"/>
  <c r="B23" i="80"/>
  <c r="Z22" i="80"/>
  <c r="X22" i="80"/>
  <c r="V22" i="80"/>
  <c r="N22" i="80"/>
  <c r="L22" i="80"/>
  <c r="B22" i="80"/>
  <c r="X21" i="80"/>
  <c r="T21" i="80"/>
  <c r="R21" i="80"/>
  <c r="P21" i="80"/>
  <c r="H21" i="80"/>
  <c r="D21" i="80"/>
  <c r="L21" i="80" s="1"/>
  <c r="B21" i="80"/>
  <c r="Z20" i="80"/>
  <c r="X20" i="80"/>
  <c r="R20" i="80"/>
  <c r="N20" i="80"/>
  <c r="L20" i="80"/>
  <c r="B20" i="80"/>
  <c r="T19" i="80"/>
  <c r="Z19" i="80" s="1"/>
  <c r="R19" i="80"/>
  <c r="P19" i="80"/>
  <c r="H19" i="80"/>
  <c r="N19" i="80" s="1"/>
  <c r="D19" i="80"/>
  <c r="L19" i="80" s="1"/>
  <c r="B19" i="80"/>
  <c r="T18" i="80"/>
  <c r="R18" i="80"/>
  <c r="P18" i="80"/>
  <c r="X18" i="80" s="1"/>
  <c r="Z18" i="80" s="1"/>
  <c r="N18" i="80"/>
  <c r="L18" i="80"/>
  <c r="J18" i="80"/>
  <c r="H18" i="80"/>
  <c r="F18" i="80"/>
  <c r="D18" i="80"/>
  <c r="R16" i="80"/>
  <c r="F16" i="80"/>
  <c r="Z14" i="80"/>
  <c r="T14" i="80"/>
  <c r="R14" i="80"/>
  <c r="P14" i="80"/>
  <c r="N14" i="80"/>
  <c r="L14" i="80"/>
  <c r="H14" i="80"/>
  <c r="F14" i="80"/>
  <c r="D14" i="80"/>
  <c r="T12" i="80"/>
  <c r="P12" i="80"/>
  <c r="N12" i="80"/>
  <c r="L12" i="80"/>
  <c r="H12" i="80"/>
  <c r="D12" i="80"/>
  <c r="F22" i="80" s="1"/>
  <c r="D6" i="80"/>
  <c r="D4" i="80"/>
  <c r="V98" i="79"/>
  <c r="J98" i="79"/>
  <c r="F98" i="79"/>
  <c r="J95" i="79"/>
  <c r="Z93" i="79"/>
  <c r="X93" i="79"/>
  <c r="V93" i="79"/>
  <c r="N93" i="79"/>
  <c r="L93" i="79"/>
  <c r="V91" i="79"/>
  <c r="H91" i="79"/>
  <c r="H95" i="79" s="1"/>
  <c r="Z89" i="79"/>
  <c r="X89" i="79"/>
  <c r="T89" i="79"/>
  <c r="P89" i="79"/>
  <c r="N89" i="79"/>
  <c r="J89" i="79"/>
  <c r="H89" i="79"/>
  <c r="F89" i="79"/>
  <c r="D89" i="79"/>
  <c r="Z87" i="79"/>
  <c r="X87" i="79"/>
  <c r="V87" i="79"/>
  <c r="N87" i="79"/>
  <c r="L87" i="79"/>
  <c r="B87" i="79"/>
  <c r="V86" i="79"/>
  <c r="T86" i="79"/>
  <c r="Z86" i="79" s="1"/>
  <c r="P86" i="79"/>
  <c r="H86" i="79"/>
  <c r="N86" i="79" s="1"/>
  <c r="D86" i="79"/>
  <c r="B86" i="79"/>
  <c r="Z85" i="79"/>
  <c r="X85" i="79"/>
  <c r="V85" i="79"/>
  <c r="N85" i="79"/>
  <c r="L85" i="79"/>
  <c r="B85" i="79"/>
  <c r="V84" i="79"/>
  <c r="T84" i="79"/>
  <c r="Z84" i="79" s="1"/>
  <c r="P84" i="79"/>
  <c r="X84" i="79" s="1"/>
  <c r="H84" i="79"/>
  <c r="N84" i="79" s="1"/>
  <c r="D84" i="79"/>
  <c r="L84" i="79" s="1"/>
  <c r="B84" i="79"/>
  <c r="Z83" i="79"/>
  <c r="X83" i="79"/>
  <c r="V83" i="79"/>
  <c r="N83" i="79"/>
  <c r="L83" i="79"/>
  <c r="J83" i="79"/>
  <c r="B83" i="79"/>
  <c r="T82" i="79"/>
  <c r="Z82" i="79" s="1"/>
  <c r="P82" i="79"/>
  <c r="X82" i="79" s="1"/>
  <c r="N82" i="79"/>
  <c r="H82" i="79"/>
  <c r="L82" i="79" s="1"/>
  <c r="D82" i="79"/>
  <c r="B82" i="79"/>
  <c r="Z81" i="79"/>
  <c r="X81" i="79"/>
  <c r="V81" i="79"/>
  <c r="N81" i="79"/>
  <c r="L81" i="79"/>
  <c r="J81" i="79"/>
  <c r="B81" i="79"/>
  <c r="T80" i="79"/>
  <c r="P80" i="79"/>
  <c r="N80" i="79"/>
  <c r="L80" i="79"/>
  <c r="J80" i="79"/>
  <c r="H80" i="79"/>
  <c r="D80" i="79"/>
  <c r="B80" i="79"/>
  <c r="Z79" i="79"/>
  <c r="X79" i="79"/>
  <c r="V79" i="79"/>
  <c r="N79" i="79"/>
  <c r="L79" i="79"/>
  <c r="B79" i="79"/>
  <c r="Z78" i="79"/>
  <c r="X78" i="79"/>
  <c r="N78" i="79"/>
  <c r="L78" i="79"/>
  <c r="B78" i="79"/>
  <c r="Z77" i="79"/>
  <c r="X77" i="79"/>
  <c r="N77" i="79"/>
  <c r="L77" i="79"/>
  <c r="J77" i="79"/>
  <c r="B77" i="79"/>
  <c r="Z76" i="79"/>
  <c r="X76" i="79"/>
  <c r="V76" i="79"/>
  <c r="N76" i="79"/>
  <c r="L76" i="79"/>
  <c r="B76" i="79"/>
  <c r="Z75" i="79"/>
  <c r="X75" i="79"/>
  <c r="V75" i="79"/>
  <c r="N75" i="79"/>
  <c r="L75" i="79"/>
  <c r="B75" i="79"/>
  <c r="Z74" i="79"/>
  <c r="X74" i="79"/>
  <c r="N74" i="79"/>
  <c r="L74" i="79"/>
  <c r="B74" i="79"/>
  <c r="Z73" i="79"/>
  <c r="X73" i="79"/>
  <c r="N73" i="79"/>
  <c r="L73" i="79"/>
  <c r="J73" i="79"/>
  <c r="B73" i="79"/>
  <c r="Z72" i="79"/>
  <c r="X72" i="79"/>
  <c r="V72" i="79"/>
  <c r="N72" i="79"/>
  <c r="L72" i="79"/>
  <c r="B72" i="79"/>
  <c r="Z71" i="79"/>
  <c r="X71" i="79"/>
  <c r="V71" i="79"/>
  <c r="N71" i="79"/>
  <c r="L71" i="79"/>
  <c r="F71" i="79"/>
  <c r="B71" i="79"/>
  <c r="X70" i="79"/>
  <c r="T70" i="79"/>
  <c r="Z70" i="79" s="1"/>
  <c r="P70" i="79"/>
  <c r="J70" i="79"/>
  <c r="H70" i="79"/>
  <c r="N70" i="79" s="1"/>
  <c r="F70" i="79"/>
  <c r="D70" i="79"/>
  <c r="L70" i="79" s="1"/>
  <c r="B70" i="79"/>
  <c r="Z69" i="79"/>
  <c r="X69" i="79"/>
  <c r="V69" i="79"/>
  <c r="N69" i="79"/>
  <c r="L69" i="79"/>
  <c r="B69" i="79"/>
  <c r="Z68" i="79"/>
  <c r="T68" i="79"/>
  <c r="P68" i="79"/>
  <c r="X68" i="79" s="1"/>
  <c r="H68" i="79"/>
  <c r="N68" i="79" s="1"/>
  <c r="D68" i="79"/>
  <c r="B68" i="79"/>
  <c r="Z67" i="79"/>
  <c r="X67" i="79"/>
  <c r="V67" i="79"/>
  <c r="N67" i="79"/>
  <c r="L67" i="79"/>
  <c r="J67" i="79"/>
  <c r="B67" i="79"/>
  <c r="Z66" i="79"/>
  <c r="X66" i="79"/>
  <c r="V66" i="79"/>
  <c r="N66" i="79"/>
  <c r="L66" i="79"/>
  <c r="B66" i="79"/>
  <c r="Z65" i="79"/>
  <c r="X65" i="79"/>
  <c r="V65" i="79"/>
  <c r="N65" i="79"/>
  <c r="L65" i="79"/>
  <c r="J65" i="79"/>
  <c r="B65" i="79"/>
  <c r="Z64" i="79"/>
  <c r="X64" i="79"/>
  <c r="N64" i="79"/>
  <c r="L64" i="79"/>
  <c r="J64" i="79"/>
  <c r="B64" i="79"/>
  <c r="Z63" i="79"/>
  <c r="X63" i="79"/>
  <c r="V63" i="79"/>
  <c r="T63" i="79"/>
  <c r="P63" i="79"/>
  <c r="J63" i="79"/>
  <c r="H63" i="79"/>
  <c r="N63" i="79" s="1"/>
  <c r="F63" i="79"/>
  <c r="D63" i="79"/>
  <c r="B63" i="79"/>
  <c r="Z62" i="79"/>
  <c r="X62" i="79"/>
  <c r="N62" i="79"/>
  <c r="L62" i="79"/>
  <c r="B62" i="79"/>
  <c r="Z61" i="79"/>
  <c r="X61" i="79"/>
  <c r="V61" i="79"/>
  <c r="T61" i="79"/>
  <c r="P61" i="79"/>
  <c r="N61" i="79"/>
  <c r="J61" i="79"/>
  <c r="H61" i="79"/>
  <c r="D61" i="79"/>
  <c r="L61" i="79" s="1"/>
  <c r="B61" i="79"/>
  <c r="Z60" i="79"/>
  <c r="X60" i="79"/>
  <c r="N60" i="79"/>
  <c r="L60" i="79"/>
  <c r="B60" i="79"/>
  <c r="Z59" i="79"/>
  <c r="X59" i="79"/>
  <c r="V59" i="79"/>
  <c r="N59" i="79"/>
  <c r="L59" i="79"/>
  <c r="J59" i="79"/>
  <c r="B59" i="79"/>
  <c r="T58" i="79"/>
  <c r="Z58" i="79" s="1"/>
  <c r="P58" i="79"/>
  <c r="N58" i="79"/>
  <c r="L58" i="79"/>
  <c r="H58" i="79"/>
  <c r="D58" i="79"/>
  <c r="B58" i="79"/>
  <c r="Z57" i="79"/>
  <c r="X57" i="79"/>
  <c r="V57" i="79"/>
  <c r="N57" i="79"/>
  <c r="L57" i="79"/>
  <c r="J57" i="79"/>
  <c r="B57" i="79"/>
  <c r="X56" i="79"/>
  <c r="T56" i="79"/>
  <c r="P56" i="79"/>
  <c r="J56" i="79"/>
  <c r="H56" i="79"/>
  <c r="D56" i="79"/>
  <c r="B56" i="79"/>
  <c r="Z55" i="79"/>
  <c r="X55" i="79"/>
  <c r="V55" i="79"/>
  <c r="N55" i="79"/>
  <c r="L55" i="79"/>
  <c r="B55" i="79"/>
  <c r="T54" i="79"/>
  <c r="P54" i="79"/>
  <c r="H54" i="79"/>
  <c r="N54" i="79" s="1"/>
  <c r="D54" i="79"/>
  <c r="L54" i="79" s="1"/>
  <c r="B54" i="79"/>
  <c r="Z53" i="79"/>
  <c r="X53" i="79"/>
  <c r="V53" i="79"/>
  <c r="N53" i="79"/>
  <c r="L53" i="79"/>
  <c r="J53" i="79"/>
  <c r="F53" i="79"/>
  <c r="B53" i="79"/>
  <c r="X52" i="79"/>
  <c r="Z52" i="79" s="1"/>
  <c r="T52" i="79"/>
  <c r="P52" i="79"/>
  <c r="H52" i="79"/>
  <c r="D52" i="79"/>
  <c r="L52" i="79" s="1"/>
  <c r="B52" i="79"/>
  <c r="Z51" i="79"/>
  <c r="X51" i="79"/>
  <c r="N51" i="79"/>
  <c r="L51" i="79"/>
  <c r="J51" i="79"/>
  <c r="B51" i="79"/>
  <c r="V50" i="79"/>
  <c r="T50" i="79"/>
  <c r="Z50" i="79" s="1"/>
  <c r="P50" i="79"/>
  <c r="X50" i="79" s="1"/>
  <c r="H50" i="79"/>
  <c r="D50" i="79"/>
  <c r="B50" i="79"/>
  <c r="Z49" i="79"/>
  <c r="X49" i="79"/>
  <c r="V49" i="79"/>
  <c r="N49" i="79"/>
  <c r="L49" i="79"/>
  <c r="J49" i="79"/>
  <c r="B49" i="79"/>
  <c r="Z48" i="79"/>
  <c r="X48" i="79"/>
  <c r="V48" i="79"/>
  <c r="N48" i="79"/>
  <c r="L48" i="79"/>
  <c r="B48" i="79"/>
  <c r="T47" i="79"/>
  <c r="P47" i="79"/>
  <c r="X47" i="79" s="1"/>
  <c r="Z47" i="79" s="1"/>
  <c r="L47" i="79"/>
  <c r="N47" i="79" s="1"/>
  <c r="H47" i="79"/>
  <c r="D47" i="79"/>
  <c r="B47" i="79"/>
  <c r="Z46" i="79"/>
  <c r="X46" i="79"/>
  <c r="N46" i="79"/>
  <c r="L46" i="79"/>
  <c r="J46" i="79"/>
  <c r="F46" i="79"/>
  <c r="B46" i="79"/>
  <c r="Z45" i="79"/>
  <c r="V45" i="79"/>
  <c r="T45" i="79"/>
  <c r="P45" i="79"/>
  <c r="X45" i="79" s="1"/>
  <c r="J45" i="79"/>
  <c r="H45" i="79"/>
  <c r="D45" i="79"/>
  <c r="B45" i="79"/>
  <c r="Z44" i="79"/>
  <c r="X44" i="79"/>
  <c r="N44" i="79"/>
  <c r="L44" i="79"/>
  <c r="B44" i="79"/>
  <c r="Z43" i="79"/>
  <c r="X43" i="79"/>
  <c r="V43" i="79"/>
  <c r="T43" i="79"/>
  <c r="R43" i="79"/>
  <c r="P43" i="79"/>
  <c r="N43" i="79"/>
  <c r="H43" i="79"/>
  <c r="D43" i="79"/>
  <c r="L43" i="79" s="1"/>
  <c r="B43" i="79"/>
  <c r="Z42" i="79"/>
  <c r="X42" i="79"/>
  <c r="N42" i="79"/>
  <c r="L42" i="79"/>
  <c r="F42" i="79"/>
  <c r="B42" i="79"/>
  <c r="Z41" i="79"/>
  <c r="X41" i="79"/>
  <c r="N41" i="79"/>
  <c r="L41" i="79"/>
  <c r="J41" i="79"/>
  <c r="B41" i="79"/>
  <c r="Z40" i="79"/>
  <c r="X40" i="79"/>
  <c r="V40" i="79"/>
  <c r="N40" i="79"/>
  <c r="L40" i="79"/>
  <c r="B40" i="79"/>
  <c r="Z39" i="79"/>
  <c r="X39" i="79"/>
  <c r="V39" i="79"/>
  <c r="N39" i="79"/>
  <c r="L39" i="79"/>
  <c r="B39" i="79"/>
  <c r="Z38" i="79"/>
  <c r="X38" i="79"/>
  <c r="N38" i="79"/>
  <c r="L38" i="79"/>
  <c r="B38" i="79"/>
  <c r="Z37" i="79"/>
  <c r="X37" i="79"/>
  <c r="N37" i="79"/>
  <c r="L37" i="79"/>
  <c r="J37" i="79"/>
  <c r="B37" i="79"/>
  <c r="Z36" i="79"/>
  <c r="X36" i="79"/>
  <c r="V36" i="79"/>
  <c r="N36" i="79"/>
  <c r="L36" i="79"/>
  <c r="F36" i="79"/>
  <c r="B36" i="79"/>
  <c r="Z35" i="79"/>
  <c r="X35" i="79"/>
  <c r="V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J33" i="79"/>
  <c r="B33" i="79"/>
  <c r="T32" i="79"/>
  <c r="Z32" i="79" s="1"/>
  <c r="P32" i="79"/>
  <c r="X32" i="79" s="1"/>
  <c r="H32" i="79"/>
  <c r="N32" i="79" s="1"/>
  <c r="D32" i="79"/>
  <c r="B32" i="79"/>
  <c r="Z31" i="79"/>
  <c r="X31" i="79"/>
  <c r="V31" i="79"/>
  <c r="N31" i="79"/>
  <c r="L31" i="79"/>
  <c r="J31" i="79"/>
  <c r="F31" i="79"/>
  <c r="B31" i="79"/>
  <c r="Z30" i="79"/>
  <c r="X30" i="79"/>
  <c r="N30" i="79"/>
  <c r="L30" i="79"/>
  <c r="J30" i="79"/>
  <c r="B30" i="79"/>
  <c r="Z29" i="79"/>
  <c r="X29" i="79"/>
  <c r="V29" i="79"/>
  <c r="N29" i="79"/>
  <c r="L29" i="79"/>
  <c r="B29" i="79"/>
  <c r="Z28" i="79"/>
  <c r="X28" i="79"/>
  <c r="V28" i="79"/>
  <c r="N28" i="79"/>
  <c r="L28" i="79"/>
  <c r="B28" i="79"/>
  <c r="Z27" i="79"/>
  <c r="X27" i="79"/>
  <c r="V27" i="79"/>
  <c r="N27" i="79"/>
  <c r="L27" i="79"/>
  <c r="J27" i="79"/>
  <c r="B27" i="79"/>
  <c r="Z26" i="79"/>
  <c r="X26" i="79"/>
  <c r="V26" i="79"/>
  <c r="N26" i="79"/>
  <c r="L26" i="79"/>
  <c r="J26" i="79"/>
  <c r="F26" i="79"/>
  <c r="B26" i="79"/>
  <c r="Z25" i="79"/>
  <c r="X25" i="79"/>
  <c r="V25" i="79"/>
  <c r="N25" i="79"/>
  <c r="L25" i="79"/>
  <c r="B25" i="79"/>
  <c r="Z24" i="79"/>
  <c r="X24" i="79"/>
  <c r="V24" i="79"/>
  <c r="N24" i="79"/>
  <c r="L24" i="79"/>
  <c r="F24" i="79"/>
  <c r="B24" i="79"/>
  <c r="Z23" i="79"/>
  <c r="V23" i="79"/>
  <c r="T23" i="79"/>
  <c r="P23" i="79"/>
  <c r="X23" i="79" s="1"/>
  <c r="N23" i="79"/>
  <c r="J23" i="79"/>
  <c r="H23" i="79"/>
  <c r="D23" i="79"/>
  <c r="L23" i="79" s="1"/>
  <c r="B23" i="79"/>
  <c r="T22" i="79"/>
  <c r="P22" i="79"/>
  <c r="X22" i="79" s="1"/>
  <c r="H22" i="79"/>
  <c r="F22" i="79"/>
  <c r="D22" i="79"/>
  <c r="L22" i="79" s="1"/>
  <c r="N22" i="79" s="1"/>
  <c r="V20" i="79"/>
  <c r="N20" i="79"/>
  <c r="H20" i="79"/>
  <c r="D20" i="79"/>
  <c r="L20" i="79" s="1"/>
  <c r="Z18" i="79"/>
  <c r="X18" i="79"/>
  <c r="V18" i="79"/>
  <c r="N18" i="79"/>
  <c r="L18" i="79"/>
  <c r="J18" i="79"/>
  <c r="F18" i="79"/>
  <c r="B18" i="79"/>
  <c r="Z17" i="79"/>
  <c r="X17" i="79"/>
  <c r="V17" i="79"/>
  <c r="N17" i="79"/>
  <c r="L17" i="79"/>
  <c r="J17" i="79"/>
  <c r="B17" i="79"/>
  <c r="V16" i="79"/>
  <c r="T16" i="79"/>
  <c r="P16" i="79"/>
  <c r="N16" i="79"/>
  <c r="L16" i="79"/>
  <c r="H16" i="79"/>
  <c r="D16" i="79"/>
  <c r="Z14" i="79"/>
  <c r="X14" i="79"/>
  <c r="P14" i="79"/>
  <c r="N14" i="79"/>
  <c r="D14" i="79"/>
  <c r="L14" i="79" s="1"/>
  <c r="B14" i="79"/>
  <c r="Z13" i="79"/>
  <c r="P13" i="79"/>
  <c r="X13" i="79" s="1"/>
  <c r="N13" i="79"/>
  <c r="D13" i="79"/>
  <c r="D12" i="79" s="1"/>
  <c r="F74" i="79" s="1"/>
  <c r="B13" i="79"/>
  <c r="Z12" i="79"/>
  <c r="T12" i="79"/>
  <c r="P12" i="79"/>
  <c r="N12" i="79"/>
  <c r="H12" i="79"/>
  <c r="J69" i="79" s="1"/>
  <c r="D6" i="79"/>
  <c r="D4" i="79"/>
  <c r="X30" i="78"/>
  <c r="Z30" i="78" s="1"/>
  <c r="V30" i="78"/>
  <c r="L30" i="78"/>
  <c r="N30" i="78" s="1"/>
  <c r="J30" i="78"/>
  <c r="T26" i="78"/>
  <c r="Z26" i="78" s="1"/>
  <c r="P26" i="78"/>
  <c r="X26" i="78" s="1"/>
  <c r="H26" i="78"/>
  <c r="N26" i="78" s="1"/>
  <c r="D26" i="78"/>
  <c r="L26" i="78" s="1"/>
  <c r="X24" i="78"/>
  <c r="Z24" i="78" s="1"/>
  <c r="L24" i="78"/>
  <c r="N24" i="78" s="1"/>
  <c r="J24" i="78"/>
  <c r="B24" i="78"/>
  <c r="X23" i="78"/>
  <c r="Z23" i="78" s="1"/>
  <c r="V23" i="78"/>
  <c r="T23" i="78"/>
  <c r="P23" i="78"/>
  <c r="L23" i="78"/>
  <c r="N23" i="78" s="1"/>
  <c r="J23" i="78"/>
  <c r="H23" i="78"/>
  <c r="D23" i="78"/>
  <c r="B23" i="78"/>
  <c r="Z22" i="78"/>
  <c r="X22" i="78"/>
  <c r="T22" i="78"/>
  <c r="V22" i="78" s="1"/>
  <c r="P22" i="78"/>
  <c r="H22" i="78"/>
  <c r="D22" i="78"/>
  <c r="L22" i="78" s="1"/>
  <c r="H20" i="78"/>
  <c r="Z18" i="78"/>
  <c r="X18" i="78"/>
  <c r="V18" i="78"/>
  <c r="N18" i="78"/>
  <c r="L18" i="78"/>
  <c r="J18" i="78"/>
  <c r="B18" i="78"/>
  <c r="Z17" i="78"/>
  <c r="X17" i="78"/>
  <c r="V17" i="78"/>
  <c r="N17" i="78"/>
  <c r="L17" i="78"/>
  <c r="J17" i="78"/>
  <c r="B17" i="78"/>
  <c r="T16" i="78"/>
  <c r="P16" i="78"/>
  <c r="X16" i="78" s="1"/>
  <c r="L16" i="78"/>
  <c r="N16" i="78" s="1"/>
  <c r="H16" i="78"/>
  <c r="D16" i="78"/>
  <c r="Z14" i="78"/>
  <c r="X14" i="78"/>
  <c r="P14" i="78"/>
  <c r="N14" i="78"/>
  <c r="D14" i="78"/>
  <c r="L14" i="78" s="1"/>
  <c r="B14" i="78"/>
  <c r="P13" i="78"/>
  <c r="X13" i="78" s="1"/>
  <c r="Z13" i="78" s="1"/>
  <c r="D13" i="78"/>
  <c r="B13" i="78"/>
  <c r="T12" i="78"/>
  <c r="P12" i="78"/>
  <c r="H12" i="78"/>
  <c r="D6" i="78"/>
  <c r="D4" i="78"/>
  <c r="X124" i="77"/>
  <c r="Z124" i="77" s="1"/>
  <c r="V124" i="77"/>
  <c r="L124" i="77"/>
  <c r="N124" i="77" s="1"/>
  <c r="J124" i="77"/>
  <c r="H122" i="77"/>
  <c r="T120" i="77"/>
  <c r="Z120" i="77" s="1"/>
  <c r="P120" i="77"/>
  <c r="X120" i="77" s="1"/>
  <c r="H120" i="77"/>
  <c r="N120" i="77" s="1"/>
  <c r="D120" i="77"/>
  <c r="L120" i="77" s="1"/>
  <c r="X118" i="77"/>
  <c r="Z118" i="77" s="1"/>
  <c r="L118" i="77"/>
  <c r="N118" i="77" s="1"/>
  <c r="B118" i="77"/>
  <c r="Z117" i="77"/>
  <c r="X117" i="77"/>
  <c r="V117" i="77"/>
  <c r="T117" i="77"/>
  <c r="P117" i="77"/>
  <c r="N117" i="77"/>
  <c r="L117" i="77"/>
  <c r="J117" i="77"/>
  <c r="H117" i="77"/>
  <c r="D117" i="77"/>
  <c r="B117" i="77"/>
  <c r="Z116" i="77"/>
  <c r="X116" i="77"/>
  <c r="L116" i="77"/>
  <c r="N116" i="77" s="1"/>
  <c r="B116" i="77"/>
  <c r="Z115" i="77"/>
  <c r="X115" i="77"/>
  <c r="V115" i="77"/>
  <c r="N115" i="77"/>
  <c r="L115" i="77"/>
  <c r="B115" i="77"/>
  <c r="T114" i="77"/>
  <c r="P114" i="77"/>
  <c r="X114" i="77" s="1"/>
  <c r="N114" i="77"/>
  <c r="L114" i="77"/>
  <c r="H114" i="77"/>
  <c r="D114" i="77"/>
  <c r="B114" i="77"/>
  <c r="Z113" i="77"/>
  <c r="X113" i="77"/>
  <c r="V113" i="77"/>
  <c r="N113" i="77"/>
  <c r="L113" i="77"/>
  <c r="J113" i="77"/>
  <c r="B113" i="77"/>
  <c r="T112" i="77"/>
  <c r="P112" i="77"/>
  <c r="L112" i="77"/>
  <c r="J112" i="77"/>
  <c r="H112" i="77"/>
  <c r="N112" i="77" s="1"/>
  <c r="D112" i="77"/>
  <c r="B112" i="77"/>
  <c r="Z111" i="77"/>
  <c r="X111" i="77"/>
  <c r="V111" i="77"/>
  <c r="N111" i="77"/>
  <c r="L111" i="77"/>
  <c r="J111" i="77"/>
  <c r="B111" i="77"/>
  <c r="X110" i="77"/>
  <c r="Z110" i="77" s="1"/>
  <c r="L110" i="77"/>
  <c r="N110" i="77" s="1"/>
  <c r="B110" i="77"/>
  <c r="Z109" i="77"/>
  <c r="X109" i="77"/>
  <c r="V109" i="77"/>
  <c r="T109" i="77"/>
  <c r="P109" i="77"/>
  <c r="N109" i="77"/>
  <c r="L109" i="77"/>
  <c r="J109" i="77"/>
  <c r="H109" i="77"/>
  <c r="D109" i="77"/>
  <c r="B109" i="77"/>
  <c r="X108" i="77"/>
  <c r="Z108" i="77" s="1"/>
  <c r="L108" i="77"/>
  <c r="N108" i="77" s="1"/>
  <c r="J108" i="77"/>
  <c r="B108" i="77"/>
  <c r="Z107" i="77"/>
  <c r="X107" i="77"/>
  <c r="V107" i="77"/>
  <c r="N107" i="77"/>
  <c r="L107" i="77"/>
  <c r="B107" i="77"/>
  <c r="X106" i="77"/>
  <c r="Z106" i="77" s="1"/>
  <c r="V106" i="77"/>
  <c r="L106" i="77"/>
  <c r="N106" i="77" s="1"/>
  <c r="J106" i="77"/>
  <c r="B106" i="77"/>
  <c r="Z105" i="77"/>
  <c r="X105" i="77"/>
  <c r="V105" i="77"/>
  <c r="N105" i="77"/>
  <c r="L105" i="77"/>
  <c r="J105" i="77"/>
  <c r="B105" i="77"/>
  <c r="X104" i="77"/>
  <c r="Z104" i="77" s="1"/>
  <c r="L104" i="77"/>
  <c r="N104" i="77" s="1"/>
  <c r="J104" i="77"/>
  <c r="B104" i="77"/>
  <c r="Z103" i="77"/>
  <c r="X103" i="77"/>
  <c r="V103" i="77"/>
  <c r="N103" i="77"/>
  <c r="L103" i="77"/>
  <c r="B103" i="77"/>
  <c r="X102" i="77"/>
  <c r="T102" i="77"/>
  <c r="P102" i="77"/>
  <c r="H102" i="77"/>
  <c r="D102" i="77"/>
  <c r="L102" i="77" s="1"/>
  <c r="N102" i="77" s="1"/>
  <c r="B102" i="77"/>
  <c r="Z101" i="77"/>
  <c r="X101" i="77"/>
  <c r="V101" i="77"/>
  <c r="N101" i="77"/>
  <c r="L101" i="77"/>
  <c r="J101" i="77"/>
  <c r="B101" i="77"/>
  <c r="X100" i="77"/>
  <c r="Z100" i="77" s="1"/>
  <c r="V100" i="77"/>
  <c r="N100" i="77"/>
  <c r="L100" i="77"/>
  <c r="B100" i="77"/>
  <c r="Z99" i="77"/>
  <c r="V99" i="77"/>
  <c r="T99" i="77"/>
  <c r="P99" i="77"/>
  <c r="X99" i="77" s="1"/>
  <c r="N99" i="77"/>
  <c r="J99" i="77"/>
  <c r="H99" i="77"/>
  <c r="D99" i="77"/>
  <c r="L99" i="77" s="1"/>
  <c r="B99" i="77"/>
  <c r="X98" i="77"/>
  <c r="Z98" i="77" s="1"/>
  <c r="L98" i="77"/>
  <c r="N98" i="77" s="1"/>
  <c r="B98" i="77"/>
  <c r="X97" i="77"/>
  <c r="Z97" i="77" s="1"/>
  <c r="V97" i="77"/>
  <c r="N97" i="77"/>
  <c r="L97" i="77"/>
  <c r="J97" i="77"/>
  <c r="B97" i="77"/>
  <c r="Z96" i="77"/>
  <c r="X96" i="77"/>
  <c r="N96" i="77"/>
  <c r="L96" i="77"/>
  <c r="B96" i="77"/>
  <c r="X95" i="77"/>
  <c r="Z95" i="77" s="1"/>
  <c r="V95" i="77"/>
  <c r="T95" i="77"/>
  <c r="P95" i="77"/>
  <c r="L95" i="77"/>
  <c r="N95" i="77" s="1"/>
  <c r="J95" i="77"/>
  <c r="H95" i="77"/>
  <c r="D95" i="77"/>
  <c r="B95" i="77"/>
  <c r="X94" i="77"/>
  <c r="Z94" i="77" s="1"/>
  <c r="V94" i="77"/>
  <c r="L94" i="77"/>
  <c r="N94" i="77" s="1"/>
  <c r="J94" i="77"/>
  <c r="B94" i="77"/>
  <c r="Z93" i="77"/>
  <c r="X93" i="77"/>
  <c r="V93" i="77"/>
  <c r="N93" i="77"/>
  <c r="L93" i="77"/>
  <c r="J93" i="77"/>
  <c r="B93" i="77"/>
  <c r="Z92" i="77"/>
  <c r="X92" i="77"/>
  <c r="N92" i="77"/>
  <c r="L92" i="77"/>
  <c r="J92" i="77"/>
  <c r="B92" i="77"/>
  <c r="T91" i="77"/>
  <c r="P91" i="77"/>
  <c r="X91" i="77" s="1"/>
  <c r="J91" i="77"/>
  <c r="H91" i="77"/>
  <c r="D91" i="77"/>
  <c r="L91" i="77" s="1"/>
  <c r="B91" i="77"/>
  <c r="X90" i="77"/>
  <c r="Z90" i="77" s="1"/>
  <c r="V90" i="77"/>
  <c r="L90" i="77"/>
  <c r="N90" i="77" s="1"/>
  <c r="B90" i="77"/>
  <c r="V89" i="77"/>
  <c r="T89" i="77"/>
  <c r="P89" i="77"/>
  <c r="X89" i="77" s="1"/>
  <c r="Z89" i="77" s="1"/>
  <c r="N89" i="77"/>
  <c r="H89" i="77"/>
  <c r="D89" i="77"/>
  <c r="L89" i="77" s="1"/>
  <c r="B89" i="77"/>
  <c r="X88" i="77"/>
  <c r="Z88" i="77" s="1"/>
  <c r="N88" i="77"/>
  <c r="L88" i="77"/>
  <c r="B88" i="77"/>
  <c r="X87" i="77"/>
  <c r="Z87" i="77" s="1"/>
  <c r="V87" i="77"/>
  <c r="T87" i="77"/>
  <c r="P87" i="77"/>
  <c r="N87" i="77"/>
  <c r="L87" i="77"/>
  <c r="J87" i="77"/>
  <c r="H87" i="77"/>
  <c r="D87" i="77"/>
  <c r="B87" i="77"/>
  <c r="X86" i="77"/>
  <c r="Z86" i="77" s="1"/>
  <c r="V86" i="77"/>
  <c r="L86" i="77"/>
  <c r="N86" i="77" s="1"/>
  <c r="J86" i="77"/>
  <c r="B86" i="77"/>
  <c r="T85" i="77"/>
  <c r="P85" i="77"/>
  <c r="H85" i="77"/>
  <c r="D85" i="77"/>
  <c r="B85" i="77"/>
  <c r="X84" i="77"/>
  <c r="Z84" i="77" s="1"/>
  <c r="V84" i="77"/>
  <c r="L84" i="77"/>
  <c r="N84" i="77" s="1"/>
  <c r="B84" i="77"/>
  <c r="Z83" i="77"/>
  <c r="V83" i="77"/>
  <c r="T83" i="77"/>
  <c r="P83" i="77"/>
  <c r="X83" i="77" s="1"/>
  <c r="J83" i="77"/>
  <c r="H83" i="77"/>
  <c r="D83" i="77"/>
  <c r="L83" i="77" s="1"/>
  <c r="N83" i="77" s="1"/>
  <c r="B83" i="77"/>
  <c r="X82" i="77"/>
  <c r="Z82" i="77" s="1"/>
  <c r="L82" i="77"/>
  <c r="N82" i="77" s="1"/>
  <c r="J82" i="77"/>
  <c r="B82" i="77"/>
  <c r="X81" i="77"/>
  <c r="Z81" i="77" s="1"/>
  <c r="V81" i="77"/>
  <c r="N81" i="77"/>
  <c r="L81" i="77"/>
  <c r="J81" i="77"/>
  <c r="B81" i="77"/>
  <c r="X80" i="77"/>
  <c r="T80" i="77"/>
  <c r="P80" i="77"/>
  <c r="H80" i="77"/>
  <c r="D80" i="77"/>
  <c r="L80" i="77" s="1"/>
  <c r="B80" i="77"/>
  <c r="Z79" i="77"/>
  <c r="X79" i="77"/>
  <c r="V79" i="77"/>
  <c r="N79" i="77"/>
  <c r="L79" i="77"/>
  <c r="B79" i="77"/>
  <c r="T78" i="77"/>
  <c r="Z78" i="77" s="1"/>
  <c r="P78" i="77"/>
  <c r="X78" i="77" s="1"/>
  <c r="H78" i="77"/>
  <c r="D78" i="77"/>
  <c r="L78" i="77" s="1"/>
  <c r="N78" i="77" s="1"/>
  <c r="B78" i="77"/>
  <c r="Z77" i="77"/>
  <c r="X77" i="77"/>
  <c r="V77" i="77"/>
  <c r="N77" i="77"/>
  <c r="L77" i="77"/>
  <c r="J77" i="77"/>
  <c r="B77" i="77"/>
  <c r="X76" i="77"/>
  <c r="V76" i="77"/>
  <c r="T76" i="77"/>
  <c r="Z76" i="77" s="1"/>
  <c r="P76" i="77"/>
  <c r="H76" i="77"/>
  <c r="N76" i="77" s="1"/>
  <c r="D76" i="77"/>
  <c r="B76" i="77"/>
  <c r="X75" i="77"/>
  <c r="Z75" i="77" s="1"/>
  <c r="V75" i="77"/>
  <c r="N75" i="77"/>
  <c r="L75" i="77"/>
  <c r="J75" i="77"/>
  <c r="B75" i="77"/>
  <c r="T74" i="77"/>
  <c r="P74" i="77"/>
  <c r="H74" i="77"/>
  <c r="D74" i="77"/>
  <c r="B74" i="77"/>
  <c r="Z73" i="77"/>
  <c r="X73" i="77"/>
  <c r="V73" i="77"/>
  <c r="L73" i="77"/>
  <c r="N73" i="77" s="1"/>
  <c r="J73" i="77"/>
  <c r="B73" i="77"/>
  <c r="Z72" i="77"/>
  <c r="T72" i="77"/>
  <c r="V72" i="77" s="1"/>
  <c r="P72" i="77"/>
  <c r="X72" i="77" s="1"/>
  <c r="H72" i="77"/>
  <c r="J72" i="77" s="1"/>
  <c r="D72" i="77"/>
  <c r="L72" i="77" s="1"/>
  <c r="N72" i="77" s="1"/>
  <c r="B72" i="77"/>
  <c r="Z71" i="77"/>
  <c r="X71" i="77"/>
  <c r="V71" i="77"/>
  <c r="N71" i="77"/>
  <c r="L71" i="77"/>
  <c r="J71" i="77"/>
  <c r="B71" i="77"/>
  <c r="X70" i="77"/>
  <c r="V70" i="77"/>
  <c r="T70" i="77"/>
  <c r="P70" i="77"/>
  <c r="H70" i="77"/>
  <c r="D70" i="77"/>
  <c r="B70" i="77"/>
  <c r="Z69" i="77"/>
  <c r="X69" i="77"/>
  <c r="V69" i="77"/>
  <c r="N69" i="77"/>
  <c r="L69" i="77"/>
  <c r="J69" i="77"/>
  <c r="B69" i="77"/>
  <c r="T68" i="77"/>
  <c r="P68" i="77"/>
  <c r="X68" i="77" s="1"/>
  <c r="Z68" i="77" s="1"/>
  <c r="H68" i="77"/>
  <c r="D68" i="77"/>
  <c r="L68" i="77" s="1"/>
  <c r="B68" i="77"/>
  <c r="Z67" i="77"/>
  <c r="X67" i="77"/>
  <c r="V67" i="77"/>
  <c r="N67" i="77"/>
  <c r="L67" i="77"/>
  <c r="B67" i="77"/>
  <c r="Z66" i="77"/>
  <c r="X66" i="77"/>
  <c r="V66" i="77"/>
  <c r="N66" i="77"/>
  <c r="L66" i="77"/>
  <c r="J66" i="77"/>
  <c r="B66" i="77"/>
  <c r="Z65" i="77"/>
  <c r="X65" i="77"/>
  <c r="V65" i="77"/>
  <c r="L65" i="77"/>
  <c r="N65" i="77" s="1"/>
  <c r="J65" i="77"/>
  <c r="B65" i="77"/>
  <c r="X64" i="77"/>
  <c r="Z64" i="77" s="1"/>
  <c r="V64" i="77"/>
  <c r="N64" i="77"/>
  <c r="L64" i="77"/>
  <c r="J64" i="77"/>
  <c r="B64" i="77"/>
  <c r="Z63" i="77"/>
  <c r="X63" i="77"/>
  <c r="V63" i="77"/>
  <c r="N63" i="77"/>
  <c r="L63" i="77"/>
  <c r="J63" i="77"/>
  <c r="B63" i="77"/>
  <c r="Z62" i="77"/>
  <c r="X62" i="77"/>
  <c r="V62" i="77"/>
  <c r="N62" i="77"/>
  <c r="L62" i="77"/>
  <c r="J62" i="77"/>
  <c r="B62" i="77"/>
  <c r="Z61" i="77"/>
  <c r="X61" i="77"/>
  <c r="V61" i="77"/>
  <c r="L61" i="77"/>
  <c r="N61" i="77" s="1"/>
  <c r="J61" i="77"/>
  <c r="B61" i="77"/>
  <c r="Z60" i="77"/>
  <c r="X60" i="77"/>
  <c r="V60" i="77"/>
  <c r="N60" i="77"/>
  <c r="L60" i="77"/>
  <c r="J60" i="77"/>
  <c r="B60" i="77"/>
  <c r="Z59" i="77"/>
  <c r="X59" i="77"/>
  <c r="V59" i="77"/>
  <c r="N59" i="77"/>
  <c r="L59" i="77"/>
  <c r="J59" i="77"/>
  <c r="B59" i="77"/>
  <c r="Z58" i="77"/>
  <c r="X58" i="77"/>
  <c r="V58" i="77"/>
  <c r="N58" i="77"/>
  <c r="L58" i="77"/>
  <c r="J58" i="77"/>
  <c r="B58" i="77"/>
  <c r="V57" i="77"/>
  <c r="T57" i="77"/>
  <c r="P57" i="77"/>
  <c r="X57" i="77" s="1"/>
  <c r="J57" i="77"/>
  <c r="H57" i="77"/>
  <c r="D57" i="77"/>
  <c r="L57" i="77" s="1"/>
  <c r="N57" i="77" s="1"/>
  <c r="B57" i="77"/>
  <c r="X56" i="77"/>
  <c r="Z56" i="77" s="1"/>
  <c r="V56" i="77"/>
  <c r="L56" i="77"/>
  <c r="N56" i="77" s="1"/>
  <c r="B56" i="77"/>
  <c r="Z55" i="77"/>
  <c r="X55" i="77"/>
  <c r="V55" i="77"/>
  <c r="L55" i="77"/>
  <c r="N55" i="77" s="1"/>
  <c r="J55" i="77"/>
  <c r="B55" i="77"/>
  <c r="X54" i="77"/>
  <c r="Z54" i="77" s="1"/>
  <c r="V54" i="77"/>
  <c r="L54" i="77"/>
  <c r="N54" i="77" s="1"/>
  <c r="B54" i="77"/>
  <c r="Z53" i="77"/>
  <c r="X53" i="77"/>
  <c r="V53" i="77"/>
  <c r="N53" i="77"/>
  <c r="L53" i="77"/>
  <c r="J53" i="77"/>
  <c r="B53" i="77"/>
  <c r="X52" i="77"/>
  <c r="Z52" i="77" s="1"/>
  <c r="V52" i="77"/>
  <c r="N52" i="77"/>
  <c r="L52" i="77"/>
  <c r="B52" i="77"/>
  <c r="Z51" i="77"/>
  <c r="X51" i="77"/>
  <c r="V51" i="77"/>
  <c r="N51" i="77"/>
  <c r="L51" i="77"/>
  <c r="J51" i="77"/>
  <c r="B51" i="77"/>
  <c r="X50" i="77"/>
  <c r="Z50" i="77" s="1"/>
  <c r="V50" i="77"/>
  <c r="L50" i="77"/>
  <c r="N50" i="77" s="1"/>
  <c r="B50" i="77"/>
  <c r="X49" i="77"/>
  <c r="Z49" i="77" s="1"/>
  <c r="V49" i="77"/>
  <c r="L49" i="77"/>
  <c r="N49" i="77" s="1"/>
  <c r="J49" i="77"/>
  <c r="B49" i="77"/>
  <c r="X48" i="77"/>
  <c r="Z48" i="77" s="1"/>
  <c r="V48" i="77"/>
  <c r="N48" i="77"/>
  <c r="L48" i="77"/>
  <c r="B48" i="77"/>
  <c r="V47" i="77"/>
  <c r="T47" i="77"/>
  <c r="P47" i="77"/>
  <c r="X47" i="77" s="1"/>
  <c r="Z47" i="77" s="1"/>
  <c r="J47" i="77"/>
  <c r="H47" i="77"/>
  <c r="D47" i="77"/>
  <c r="L47" i="77" s="1"/>
  <c r="N47" i="77" s="1"/>
  <c r="B47" i="77"/>
  <c r="T46" i="77"/>
  <c r="P46" i="77"/>
  <c r="X46" i="77" s="1"/>
  <c r="N46" i="77"/>
  <c r="H46" i="77"/>
  <c r="D46" i="77"/>
  <c r="L46" i="77" s="1"/>
  <c r="H44" i="77"/>
  <c r="Z42" i="77"/>
  <c r="X42" i="77"/>
  <c r="N42" i="77"/>
  <c r="L42" i="77"/>
  <c r="J42" i="77"/>
  <c r="B42" i="77"/>
  <c r="Z41" i="77"/>
  <c r="X41" i="77"/>
  <c r="V41" i="77"/>
  <c r="N41" i="77"/>
  <c r="L41" i="77"/>
  <c r="J41" i="77"/>
  <c r="B41" i="77"/>
  <c r="Z40" i="77"/>
  <c r="X40" i="77"/>
  <c r="N40" i="77"/>
  <c r="L40" i="77"/>
  <c r="B40" i="77"/>
  <c r="Z39" i="77"/>
  <c r="X39" i="77"/>
  <c r="V39" i="77"/>
  <c r="N39" i="77"/>
  <c r="L39" i="77"/>
  <c r="J39" i="77"/>
  <c r="B39" i="77"/>
  <c r="Z38" i="77"/>
  <c r="X38" i="77"/>
  <c r="N38" i="77"/>
  <c r="L38" i="77"/>
  <c r="J38" i="77"/>
  <c r="B38" i="77"/>
  <c r="Z37" i="77"/>
  <c r="X37" i="77"/>
  <c r="V37" i="77"/>
  <c r="N37" i="77"/>
  <c r="L37" i="77"/>
  <c r="J37" i="77"/>
  <c r="B37" i="77"/>
  <c r="X36" i="77"/>
  <c r="Z36" i="77" s="1"/>
  <c r="L36" i="77"/>
  <c r="N36" i="77" s="1"/>
  <c r="B36" i="77"/>
  <c r="V35" i="77"/>
  <c r="T35" i="77"/>
  <c r="P35" i="77"/>
  <c r="N35" i="77"/>
  <c r="L35" i="77"/>
  <c r="J35" i="77"/>
  <c r="H35" i="77"/>
  <c r="D35" i="77"/>
  <c r="Z33" i="77"/>
  <c r="P33" i="77"/>
  <c r="X33" i="77" s="1"/>
  <c r="N33" i="77"/>
  <c r="L33" i="77"/>
  <c r="D33" i="77"/>
  <c r="B33" i="77"/>
  <c r="Z32" i="77"/>
  <c r="X32" i="77"/>
  <c r="P32" i="77"/>
  <c r="N32" i="77"/>
  <c r="D32" i="77"/>
  <c r="L32" i="77" s="1"/>
  <c r="B32" i="77"/>
  <c r="Z31" i="77"/>
  <c r="P31" i="77"/>
  <c r="X31" i="77" s="1"/>
  <c r="N31" i="77"/>
  <c r="D31" i="77"/>
  <c r="L31" i="77" s="1"/>
  <c r="B31" i="77"/>
  <c r="Z30" i="77"/>
  <c r="X30" i="77"/>
  <c r="P30" i="77"/>
  <c r="N30" i="77"/>
  <c r="L30" i="77"/>
  <c r="D30" i="77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D28" i="77"/>
  <c r="L28" i="77" s="1"/>
  <c r="B28" i="77"/>
  <c r="Z27" i="77"/>
  <c r="P27" i="77"/>
  <c r="X27" i="77" s="1"/>
  <c r="N27" i="77"/>
  <c r="L27" i="77"/>
  <c r="D27" i="77"/>
  <c r="B27" i="77"/>
  <c r="Z26" i="77"/>
  <c r="X26" i="77"/>
  <c r="P26" i="77"/>
  <c r="N26" i="77"/>
  <c r="D26" i="77"/>
  <c r="L26" i="77" s="1"/>
  <c r="B26" i="77"/>
  <c r="Z25" i="77"/>
  <c r="P25" i="77"/>
  <c r="X25" i="77" s="1"/>
  <c r="N25" i="77"/>
  <c r="D25" i="77"/>
  <c r="L25" i="77" s="1"/>
  <c r="B25" i="77"/>
  <c r="Z24" i="77"/>
  <c r="X24" i="77"/>
  <c r="P24" i="77"/>
  <c r="N24" i="77"/>
  <c r="L24" i="77"/>
  <c r="D24" i="77"/>
  <c r="B24" i="77"/>
  <c r="Z23" i="77"/>
  <c r="P23" i="77"/>
  <c r="X23" i="77" s="1"/>
  <c r="N23" i="77"/>
  <c r="D23" i="77"/>
  <c r="L23" i="77" s="1"/>
  <c r="B23" i="77"/>
  <c r="Z22" i="77"/>
  <c r="P22" i="77"/>
  <c r="X22" i="77" s="1"/>
  <c r="N22" i="77"/>
  <c r="D22" i="77"/>
  <c r="L22" i="77" s="1"/>
  <c r="B22" i="77"/>
  <c r="Z21" i="77"/>
  <c r="X21" i="77"/>
  <c r="P21" i="77"/>
  <c r="N21" i="77"/>
  <c r="L21" i="77"/>
  <c r="D21" i="77"/>
  <c r="B21" i="77"/>
  <c r="Z20" i="77"/>
  <c r="X20" i="77"/>
  <c r="P20" i="77"/>
  <c r="N20" i="77"/>
  <c r="D20" i="77"/>
  <c r="L20" i="77" s="1"/>
  <c r="B20" i="77"/>
  <c r="Z19" i="77"/>
  <c r="P19" i="77"/>
  <c r="X19" i="77" s="1"/>
  <c r="N19" i="77"/>
  <c r="D19" i="77"/>
  <c r="L19" i="77" s="1"/>
  <c r="B19" i="77"/>
  <c r="Z18" i="77"/>
  <c r="X18" i="77"/>
  <c r="P18" i="77"/>
  <c r="N18" i="77"/>
  <c r="L18" i="77"/>
  <c r="D18" i="77"/>
  <c r="B18" i="77"/>
  <c r="Z17" i="77"/>
  <c r="P17" i="77"/>
  <c r="X17" i="77" s="1"/>
  <c r="N17" i="77"/>
  <c r="L17" i="77"/>
  <c r="D17" i="77"/>
  <c r="B17" i="77"/>
  <c r="Z16" i="77"/>
  <c r="X16" i="77"/>
  <c r="P16" i="77"/>
  <c r="N16" i="77"/>
  <c r="L16" i="77"/>
  <c r="D16" i="77"/>
  <c r="B16" i="77"/>
  <c r="Z15" i="77"/>
  <c r="P15" i="77"/>
  <c r="X15" i="77" s="1"/>
  <c r="N15" i="77"/>
  <c r="L15" i="77"/>
  <c r="D15" i="77"/>
  <c r="B15" i="77"/>
  <c r="Z14" i="77"/>
  <c r="P14" i="77"/>
  <c r="N14" i="77"/>
  <c r="D14" i="77"/>
  <c r="L14" i="77" s="1"/>
  <c r="B14" i="77"/>
  <c r="P13" i="77"/>
  <c r="X13" i="77" s="1"/>
  <c r="Z13" i="77" s="1"/>
  <c r="D13" i="77"/>
  <c r="B13" i="77"/>
  <c r="T12" i="77"/>
  <c r="V116" i="77" s="1"/>
  <c r="H12" i="77"/>
  <c r="D6" i="77"/>
  <c r="D4" i="77"/>
  <c r="X92" i="76"/>
  <c r="Z92" i="76" s="1"/>
  <c r="L92" i="76"/>
  <c r="N92" i="76" s="1"/>
  <c r="T88" i="76"/>
  <c r="Z88" i="76" s="1"/>
  <c r="P88" i="76"/>
  <c r="X88" i="76" s="1"/>
  <c r="H88" i="76"/>
  <c r="D88" i="76"/>
  <c r="X86" i="76"/>
  <c r="Z86" i="76" s="1"/>
  <c r="L86" i="76"/>
  <c r="N86" i="76" s="1"/>
  <c r="B86" i="76"/>
  <c r="Z85" i="76"/>
  <c r="X85" i="76"/>
  <c r="V85" i="76"/>
  <c r="T85" i="76"/>
  <c r="P85" i="76"/>
  <c r="H85" i="76"/>
  <c r="D85" i="76"/>
  <c r="B85" i="76"/>
  <c r="X84" i="76"/>
  <c r="Z84" i="76" s="1"/>
  <c r="N84" i="76"/>
  <c r="L84" i="76"/>
  <c r="B84" i="76"/>
  <c r="V83" i="76"/>
  <c r="T83" i="76"/>
  <c r="P83" i="76"/>
  <c r="N83" i="76"/>
  <c r="J83" i="76"/>
  <c r="H83" i="76"/>
  <c r="D83" i="76"/>
  <c r="L83" i="76" s="1"/>
  <c r="B83" i="76"/>
  <c r="X82" i="76"/>
  <c r="Z82" i="76" s="1"/>
  <c r="N82" i="76"/>
  <c r="L82" i="76"/>
  <c r="B82" i="76"/>
  <c r="Z81" i="76"/>
  <c r="X81" i="76"/>
  <c r="N81" i="76"/>
  <c r="L81" i="76"/>
  <c r="B81" i="76"/>
  <c r="X80" i="76"/>
  <c r="V80" i="76"/>
  <c r="T80" i="76"/>
  <c r="P80" i="76"/>
  <c r="L80" i="76"/>
  <c r="H80" i="76"/>
  <c r="D80" i="76"/>
  <c r="B80" i="76"/>
  <c r="Z79" i="76"/>
  <c r="X79" i="76"/>
  <c r="V79" i="76"/>
  <c r="N79" i="76"/>
  <c r="L79" i="76"/>
  <c r="J79" i="76"/>
  <c r="B79" i="76"/>
  <c r="X78" i="76"/>
  <c r="Z78" i="76" s="1"/>
  <c r="N78" i="76"/>
  <c r="L78" i="76"/>
  <c r="B78" i="76"/>
  <c r="Z77" i="76"/>
  <c r="X77" i="76"/>
  <c r="V77" i="76"/>
  <c r="N77" i="76"/>
  <c r="L77" i="76"/>
  <c r="B77" i="76"/>
  <c r="Z76" i="76"/>
  <c r="X76" i="76"/>
  <c r="N76" i="76"/>
  <c r="L76" i="76"/>
  <c r="B76" i="76"/>
  <c r="Z75" i="76"/>
  <c r="X75" i="76"/>
  <c r="N75" i="76"/>
  <c r="L75" i="76"/>
  <c r="B75" i="76"/>
  <c r="T74" i="76"/>
  <c r="P74" i="76"/>
  <c r="X74" i="76" s="1"/>
  <c r="H74" i="76"/>
  <c r="N74" i="76" s="1"/>
  <c r="D74" i="76"/>
  <c r="L74" i="76" s="1"/>
  <c r="B74" i="76"/>
  <c r="Z73" i="76"/>
  <c r="X73" i="76"/>
  <c r="L73" i="76"/>
  <c r="N73" i="76" s="1"/>
  <c r="B73" i="76"/>
  <c r="T72" i="76"/>
  <c r="P72" i="76"/>
  <c r="X72" i="76" s="1"/>
  <c r="L72" i="76"/>
  <c r="N72" i="76" s="1"/>
  <c r="H72" i="76"/>
  <c r="D72" i="76"/>
  <c r="B72" i="76"/>
  <c r="Z71" i="76"/>
  <c r="X71" i="76"/>
  <c r="L71" i="76"/>
  <c r="N71" i="76" s="1"/>
  <c r="B71" i="76"/>
  <c r="X70" i="76"/>
  <c r="Z70" i="76" s="1"/>
  <c r="R70" i="76"/>
  <c r="L70" i="76"/>
  <c r="N70" i="76" s="1"/>
  <c r="B70" i="76"/>
  <c r="Z69" i="76"/>
  <c r="X69" i="76"/>
  <c r="N69" i="76"/>
  <c r="L69" i="76"/>
  <c r="J69" i="76"/>
  <c r="B69" i="76"/>
  <c r="X68" i="76"/>
  <c r="V68" i="76"/>
  <c r="T68" i="76"/>
  <c r="P68" i="76"/>
  <c r="H68" i="76"/>
  <c r="D68" i="76"/>
  <c r="L68" i="76" s="1"/>
  <c r="B68" i="76"/>
  <c r="X67" i="76"/>
  <c r="Z67" i="76" s="1"/>
  <c r="V67" i="76"/>
  <c r="N67" i="76"/>
  <c r="L67" i="76"/>
  <c r="B67" i="76"/>
  <c r="Z66" i="76"/>
  <c r="X66" i="76"/>
  <c r="N66" i="76"/>
  <c r="L66" i="76"/>
  <c r="J66" i="76"/>
  <c r="B66" i="76"/>
  <c r="Z65" i="76"/>
  <c r="X65" i="76"/>
  <c r="N65" i="76"/>
  <c r="L65" i="76"/>
  <c r="B65" i="76"/>
  <c r="Z64" i="76"/>
  <c r="X64" i="76"/>
  <c r="N64" i="76"/>
  <c r="L64" i="76"/>
  <c r="B64" i="76"/>
  <c r="Z63" i="76"/>
  <c r="T63" i="76"/>
  <c r="X63" i="76" s="1"/>
  <c r="P63" i="76"/>
  <c r="H63" i="76"/>
  <c r="D63" i="76"/>
  <c r="B63" i="76"/>
  <c r="Z62" i="76"/>
  <c r="X62" i="76"/>
  <c r="V62" i="76"/>
  <c r="R62" i="76"/>
  <c r="L62" i="76"/>
  <c r="N62" i="76" s="1"/>
  <c r="B62" i="76"/>
  <c r="T61" i="76"/>
  <c r="P61" i="76"/>
  <c r="J61" i="76"/>
  <c r="H61" i="76"/>
  <c r="D61" i="76"/>
  <c r="B61" i="76"/>
  <c r="X60" i="76"/>
  <c r="Z60" i="76" s="1"/>
  <c r="L60" i="76"/>
  <c r="N60" i="76" s="1"/>
  <c r="B60" i="76"/>
  <c r="Z59" i="76"/>
  <c r="X59" i="76"/>
  <c r="T59" i="76"/>
  <c r="P59" i="76"/>
  <c r="N59" i="76"/>
  <c r="L59" i="76"/>
  <c r="J59" i="76"/>
  <c r="H59" i="76"/>
  <c r="D59" i="76"/>
  <c r="B59" i="76"/>
  <c r="Z58" i="76"/>
  <c r="X58" i="76"/>
  <c r="N58" i="76"/>
  <c r="L58" i="76"/>
  <c r="B58" i="76"/>
  <c r="T57" i="76"/>
  <c r="X57" i="76" s="1"/>
  <c r="P57" i="76"/>
  <c r="H57" i="76"/>
  <c r="N57" i="76" s="1"/>
  <c r="D57" i="76"/>
  <c r="B57" i="76"/>
  <c r="Z56" i="76"/>
  <c r="X56" i="76"/>
  <c r="V56" i="76"/>
  <c r="L56" i="76"/>
  <c r="N56" i="76" s="1"/>
  <c r="B56" i="76"/>
  <c r="T55" i="76"/>
  <c r="P55" i="76"/>
  <c r="J55" i="76"/>
  <c r="H55" i="76"/>
  <c r="D55" i="76"/>
  <c r="B55" i="76"/>
  <c r="X54" i="76"/>
  <c r="Z54" i="76" s="1"/>
  <c r="N54" i="76"/>
  <c r="L54" i="76"/>
  <c r="B54" i="76"/>
  <c r="X53" i="76"/>
  <c r="Z53" i="76" s="1"/>
  <c r="T53" i="76"/>
  <c r="P53" i="76"/>
  <c r="N53" i="76"/>
  <c r="L53" i="76"/>
  <c r="J53" i="76"/>
  <c r="H53" i="76"/>
  <c r="D53" i="76"/>
  <c r="B53" i="76"/>
  <c r="Z52" i="76"/>
  <c r="X52" i="76"/>
  <c r="N52" i="76"/>
  <c r="L52" i="76"/>
  <c r="B52" i="76"/>
  <c r="Z51" i="76"/>
  <c r="X51" i="76"/>
  <c r="R51" i="76"/>
  <c r="N51" i="76"/>
  <c r="L51" i="76"/>
  <c r="B51" i="76"/>
  <c r="T50" i="76"/>
  <c r="P50" i="76"/>
  <c r="H50" i="76"/>
  <c r="D50" i="76"/>
  <c r="B50" i="76"/>
  <c r="Z49" i="76"/>
  <c r="X49" i="76"/>
  <c r="N49" i="76"/>
  <c r="L49" i="76"/>
  <c r="B49" i="76"/>
  <c r="T48" i="76"/>
  <c r="P48" i="76"/>
  <c r="X48" i="76" s="1"/>
  <c r="Z48" i="76" s="1"/>
  <c r="J48" i="76"/>
  <c r="H48" i="76"/>
  <c r="D48" i="76"/>
  <c r="L48" i="76" s="1"/>
  <c r="B48" i="76"/>
  <c r="Z47" i="76"/>
  <c r="X47" i="76"/>
  <c r="L47" i="76"/>
  <c r="N47" i="76" s="1"/>
  <c r="B47" i="76"/>
  <c r="X46" i="76"/>
  <c r="V46" i="76"/>
  <c r="T46" i="76"/>
  <c r="P46" i="76"/>
  <c r="L46" i="76"/>
  <c r="H46" i="76"/>
  <c r="D46" i="76"/>
  <c r="B46" i="76"/>
  <c r="X45" i="76"/>
  <c r="Z45" i="76" s="1"/>
  <c r="V45" i="76"/>
  <c r="N45" i="76"/>
  <c r="L45" i="76"/>
  <c r="J45" i="76"/>
  <c r="B45" i="76"/>
  <c r="T44" i="76"/>
  <c r="P44" i="76"/>
  <c r="X44" i="76" s="1"/>
  <c r="H44" i="76"/>
  <c r="D44" i="76"/>
  <c r="L44" i="76" s="1"/>
  <c r="N44" i="76" s="1"/>
  <c r="B44" i="76"/>
  <c r="Z43" i="76"/>
  <c r="X43" i="76"/>
  <c r="N43" i="76"/>
  <c r="L43" i="76"/>
  <c r="B43" i="76"/>
  <c r="Z42" i="76"/>
  <c r="X42" i="76"/>
  <c r="V42" i="76"/>
  <c r="N42" i="76"/>
  <c r="L42" i="76"/>
  <c r="B42" i="76"/>
  <c r="Z41" i="76"/>
  <c r="X41" i="76"/>
  <c r="V41" i="76"/>
  <c r="N41" i="76"/>
  <c r="L41" i="76"/>
  <c r="B41" i="76"/>
  <c r="Z40" i="76"/>
  <c r="X40" i="76"/>
  <c r="N40" i="76"/>
  <c r="L40" i="76"/>
  <c r="B40" i="76"/>
  <c r="Z39" i="76"/>
  <c r="X39" i="76"/>
  <c r="N39" i="76"/>
  <c r="L39" i="76"/>
  <c r="B39" i="76"/>
  <c r="Z38" i="76"/>
  <c r="X38" i="76"/>
  <c r="L38" i="76"/>
  <c r="N38" i="76" s="1"/>
  <c r="B38" i="76"/>
  <c r="Z37" i="76"/>
  <c r="X37" i="76"/>
  <c r="R37" i="76"/>
  <c r="N37" i="76"/>
  <c r="L37" i="76"/>
  <c r="B37" i="76"/>
  <c r="Z36" i="76"/>
  <c r="X36" i="76"/>
  <c r="N36" i="76"/>
  <c r="L36" i="76"/>
  <c r="B36" i="76"/>
  <c r="Z35" i="76"/>
  <c r="X35" i="76"/>
  <c r="V35" i="76"/>
  <c r="L35" i="76"/>
  <c r="N35" i="76" s="1"/>
  <c r="B35" i="76"/>
  <c r="Z34" i="76"/>
  <c r="X34" i="76"/>
  <c r="V34" i="76"/>
  <c r="N34" i="76"/>
  <c r="L34" i="76"/>
  <c r="J34" i="76"/>
  <c r="B34" i="76"/>
  <c r="T33" i="76"/>
  <c r="P33" i="76"/>
  <c r="X33" i="76" s="1"/>
  <c r="Z33" i="76" s="1"/>
  <c r="J33" i="76"/>
  <c r="H33" i="76"/>
  <c r="D33" i="76"/>
  <c r="L33" i="76" s="1"/>
  <c r="N33" i="76" s="1"/>
  <c r="B33" i="76"/>
  <c r="X32" i="76"/>
  <c r="Z32" i="76" s="1"/>
  <c r="L32" i="76"/>
  <c r="N32" i="76" s="1"/>
  <c r="B32" i="76"/>
  <c r="Z31" i="76"/>
  <c r="X31" i="76"/>
  <c r="L31" i="76"/>
  <c r="N31" i="76" s="1"/>
  <c r="B31" i="76"/>
  <c r="Z30" i="76"/>
  <c r="X30" i="76"/>
  <c r="V30" i="76"/>
  <c r="N30" i="76"/>
  <c r="L30" i="76"/>
  <c r="B30" i="76"/>
  <c r="Z29" i="76"/>
  <c r="X29" i="76"/>
  <c r="N29" i="76"/>
  <c r="L29" i="76"/>
  <c r="B29" i="76"/>
  <c r="X28" i="76"/>
  <c r="Z28" i="76" s="1"/>
  <c r="V28" i="76"/>
  <c r="L28" i="76"/>
  <c r="N28" i="76" s="1"/>
  <c r="B28" i="76"/>
  <c r="Z27" i="76"/>
  <c r="X27" i="76"/>
  <c r="L27" i="76"/>
  <c r="N27" i="76" s="1"/>
  <c r="J27" i="76"/>
  <c r="B27" i="76"/>
  <c r="X26" i="76"/>
  <c r="Z26" i="76" s="1"/>
  <c r="V26" i="76"/>
  <c r="L26" i="76"/>
  <c r="N26" i="76" s="1"/>
  <c r="B26" i="76"/>
  <c r="X25" i="76"/>
  <c r="Z25" i="76" s="1"/>
  <c r="V25" i="76"/>
  <c r="N25" i="76"/>
  <c r="L25" i="76"/>
  <c r="J25" i="76"/>
  <c r="B25" i="76"/>
  <c r="T24" i="76"/>
  <c r="P24" i="76"/>
  <c r="X24" i="76" s="1"/>
  <c r="J24" i="76"/>
  <c r="H24" i="76"/>
  <c r="D24" i="76"/>
  <c r="L24" i="76" s="1"/>
  <c r="B24" i="76"/>
  <c r="X23" i="76"/>
  <c r="T23" i="76"/>
  <c r="Z23" i="76" s="1"/>
  <c r="P23" i="76"/>
  <c r="L23" i="76"/>
  <c r="N23" i="76" s="1"/>
  <c r="H23" i="76"/>
  <c r="D23" i="76"/>
  <c r="Z19" i="76"/>
  <c r="X19" i="76"/>
  <c r="N19" i="76"/>
  <c r="L19" i="76"/>
  <c r="B19" i="76"/>
  <c r="Z18" i="76"/>
  <c r="X18" i="76"/>
  <c r="N18" i="76"/>
  <c r="L18" i="76"/>
  <c r="B18" i="76"/>
  <c r="X17" i="76"/>
  <c r="Z17" i="76" s="1"/>
  <c r="V17" i="76"/>
  <c r="N17" i="76"/>
  <c r="L17" i="76"/>
  <c r="B17" i="76"/>
  <c r="T16" i="76"/>
  <c r="Z16" i="76" s="1"/>
  <c r="P16" i="76"/>
  <c r="X16" i="76" s="1"/>
  <c r="J16" i="76"/>
  <c r="H16" i="76"/>
  <c r="D16" i="76"/>
  <c r="L16" i="76" s="1"/>
  <c r="Z14" i="76"/>
  <c r="X14" i="76"/>
  <c r="P14" i="76"/>
  <c r="D14" i="76"/>
  <c r="L14" i="76" s="1"/>
  <c r="N14" i="76" s="1"/>
  <c r="B14" i="76"/>
  <c r="X13" i="76"/>
  <c r="Z13" i="76" s="1"/>
  <c r="P13" i="76"/>
  <c r="P12" i="76" s="1"/>
  <c r="D13" i="76"/>
  <c r="B13" i="76"/>
  <c r="T12" i="76"/>
  <c r="V43" i="76" s="1"/>
  <c r="H12" i="76"/>
  <c r="D6" i="76"/>
  <c r="D4" i="76"/>
  <c r="X51" i="75"/>
  <c r="Z51" i="75" s="1"/>
  <c r="L51" i="75"/>
  <c r="N51" i="75" s="1"/>
  <c r="X47" i="75"/>
  <c r="T47" i="75"/>
  <c r="Z47" i="75" s="1"/>
  <c r="P47" i="75"/>
  <c r="N47" i="75"/>
  <c r="H47" i="75"/>
  <c r="D47" i="75"/>
  <c r="L47" i="75" s="1"/>
  <c r="Z45" i="75"/>
  <c r="X45" i="75"/>
  <c r="N45" i="75"/>
  <c r="L45" i="75"/>
  <c r="J45" i="75"/>
  <c r="B45" i="75"/>
  <c r="Z44" i="75"/>
  <c r="X44" i="75"/>
  <c r="N44" i="75"/>
  <c r="L44" i="75"/>
  <c r="J44" i="75"/>
  <c r="B44" i="75"/>
  <c r="Z43" i="75"/>
  <c r="X43" i="75"/>
  <c r="N43" i="75"/>
  <c r="L43" i="75"/>
  <c r="B43" i="75"/>
  <c r="Z42" i="75"/>
  <c r="X42" i="75"/>
  <c r="V42" i="75"/>
  <c r="N42" i="75"/>
  <c r="L42" i="75"/>
  <c r="B42" i="75"/>
  <c r="Z41" i="75"/>
  <c r="X41" i="75"/>
  <c r="V41" i="75"/>
  <c r="N41" i="75"/>
  <c r="L41" i="75"/>
  <c r="J41" i="75"/>
  <c r="B41" i="75"/>
  <c r="Z40" i="75"/>
  <c r="X40" i="75"/>
  <c r="N40" i="75"/>
  <c r="L40" i="75"/>
  <c r="J40" i="75"/>
  <c r="B40" i="75"/>
  <c r="Z39" i="75"/>
  <c r="X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J37" i="75"/>
  <c r="B37" i="75"/>
  <c r="Z36" i="75"/>
  <c r="X36" i="75"/>
  <c r="N36" i="75"/>
  <c r="L36" i="75"/>
  <c r="J36" i="75"/>
  <c r="B36" i="75"/>
  <c r="Z35" i="75"/>
  <c r="T35" i="75"/>
  <c r="P35" i="75"/>
  <c r="X35" i="75" s="1"/>
  <c r="J35" i="75"/>
  <c r="H35" i="75"/>
  <c r="N35" i="75" s="1"/>
  <c r="D35" i="75"/>
  <c r="L35" i="75" s="1"/>
  <c r="B35" i="75"/>
  <c r="Z34" i="75"/>
  <c r="X34" i="75"/>
  <c r="N34" i="75"/>
  <c r="L34" i="75"/>
  <c r="J34" i="75"/>
  <c r="B34" i="75"/>
  <c r="Z33" i="75"/>
  <c r="X33" i="75"/>
  <c r="N33" i="75"/>
  <c r="L33" i="75"/>
  <c r="B33" i="75"/>
  <c r="Z32" i="75"/>
  <c r="X32" i="75"/>
  <c r="V32" i="75"/>
  <c r="N32" i="75"/>
  <c r="L32" i="75"/>
  <c r="B32" i="75"/>
  <c r="Z31" i="75"/>
  <c r="X31" i="75"/>
  <c r="N31" i="75"/>
  <c r="L31" i="75"/>
  <c r="B31" i="75"/>
  <c r="Z30" i="75"/>
  <c r="X30" i="75"/>
  <c r="N30" i="75"/>
  <c r="L30" i="75"/>
  <c r="J30" i="75"/>
  <c r="B30" i="75"/>
  <c r="Z29" i="75"/>
  <c r="X29" i="75"/>
  <c r="N29" i="75"/>
  <c r="L29" i="75"/>
  <c r="B29" i="75"/>
  <c r="Z28" i="75"/>
  <c r="X28" i="75"/>
  <c r="N28" i="75"/>
  <c r="L28" i="75"/>
  <c r="B28" i="75"/>
  <c r="Z27" i="75"/>
  <c r="X27" i="75"/>
  <c r="N27" i="75"/>
  <c r="L27" i="75"/>
  <c r="B27" i="75"/>
  <c r="T26" i="75"/>
  <c r="Z26" i="75" s="1"/>
  <c r="P26" i="75"/>
  <c r="X26" i="75" s="1"/>
  <c r="N26" i="75"/>
  <c r="J26" i="75"/>
  <c r="H26" i="75"/>
  <c r="D26" i="75"/>
  <c r="L26" i="75" s="1"/>
  <c r="B26" i="75"/>
  <c r="T25" i="75"/>
  <c r="Z25" i="75" s="1"/>
  <c r="P25" i="75"/>
  <c r="X25" i="75" s="1"/>
  <c r="N25" i="75"/>
  <c r="L25" i="75"/>
  <c r="H25" i="75"/>
  <c r="D25" i="75"/>
  <c r="P23" i="75"/>
  <c r="H23" i="75"/>
  <c r="Z21" i="75"/>
  <c r="X21" i="75"/>
  <c r="N21" i="75"/>
  <c r="L21" i="75"/>
  <c r="J21" i="75"/>
  <c r="B21" i="75"/>
  <c r="Z20" i="75"/>
  <c r="X20" i="75"/>
  <c r="N20" i="75"/>
  <c r="L20" i="75"/>
  <c r="J20" i="75"/>
  <c r="B20" i="75"/>
  <c r="X19" i="75"/>
  <c r="Z19" i="75" s="1"/>
  <c r="R19" i="75"/>
  <c r="N19" i="75"/>
  <c r="L19" i="75"/>
  <c r="B19" i="75"/>
  <c r="T18" i="75"/>
  <c r="P18" i="75"/>
  <c r="N18" i="75"/>
  <c r="L18" i="75"/>
  <c r="H18" i="75"/>
  <c r="D18" i="75"/>
  <c r="Z16" i="75"/>
  <c r="P16" i="75"/>
  <c r="X16" i="75" s="1"/>
  <c r="N16" i="75"/>
  <c r="L16" i="75"/>
  <c r="D16" i="75"/>
  <c r="B16" i="75"/>
  <c r="Z15" i="75"/>
  <c r="P15" i="75"/>
  <c r="X15" i="75" s="1"/>
  <c r="N15" i="75"/>
  <c r="D15" i="75"/>
  <c r="L15" i="75" s="1"/>
  <c r="B15" i="75"/>
  <c r="Z14" i="75"/>
  <c r="X14" i="75"/>
  <c r="P14" i="75"/>
  <c r="N14" i="75"/>
  <c r="D14" i="75"/>
  <c r="L14" i="75" s="1"/>
  <c r="B14" i="75"/>
  <c r="X13" i="75"/>
  <c r="Z13" i="75" s="1"/>
  <c r="P13" i="75"/>
  <c r="L13" i="75"/>
  <c r="N13" i="75" s="1"/>
  <c r="D13" i="75"/>
  <c r="B13" i="75"/>
  <c r="T12" i="75"/>
  <c r="V18" i="75" s="1"/>
  <c r="P12" i="75"/>
  <c r="H12" i="75"/>
  <c r="J32" i="75" s="1"/>
  <c r="D6" i="75"/>
  <c r="D4" i="75"/>
  <c r="R77" i="74"/>
  <c r="R74" i="74"/>
  <c r="D74" i="74"/>
  <c r="Z72" i="74"/>
  <c r="X72" i="74"/>
  <c r="N72" i="74"/>
  <c r="L72" i="74"/>
  <c r="R70" i="74"/>
  <c r="J70" i="74"/>
  <c r="T68" i="74"/>
  <c r="Z68" i="74" s="1"/>
  <c r="P68" i="74"/>
  <c r="H68" i="74"/>
  <c r="L68" i="74" s="1"/>
  <c r="D68" i="74"/>
  <c r="Z66" i="74"/>
  <c r="X66" i="74"/>
  <c r="N66" i="74"/>
  <c r="L66" i="74"/>
  <c r="B66" i="74"/>
  <c r="Z65" i="74"/>
  <c r="T65" i="74"/>
  <c r="P65" i="74"/>
  <c r="X65" i="74" s="1"/>
  <c r="H65" i="74"/>
  <c r="D65" i="74"/>
  <c r="B65" i="74"/>
  <c r="Z64" i="74"/>
  <c r="X64" i="74"/>
  <c r="N64" i="74"/>
  <c r="L64" i="74"/>
  <c r="F64" i="74"/>
  <c r="B64" i="74"/>
  <c r="Z63" i="74"/>
  <c r="X63" i="74"/>
  <c r="V63" i="74"/>
  <c r="T63" i="74"/>
  <c r="P63" i="74"/>
  <c r="J63" i="74"/>
  <c r="H63" i="74"/>
  <c r="N63" i="74" s="1"/>
  <c r="D63" i="74"/>
  <c r="L63" i="74" s="1"/>
  <c r="B63" i="74"/>
  <c r="Z62" i="74"/>
  <c r="X62" i="74"/>
  <c r="N62" i="74"/>
  <c r="L62" i="74"/>
  <c r="F62" i="74"/>
  <c r="B62" i="74"/>
  <c r="Z61" i="74"/>
  <c r="X61" i="74"/>
  <c r="N61" i="74"/>
  <c r="L61" i="74"/>
  <c r="B61" i="74"/>
  <c r="Z60" i="74"/>
  <c r="X60" i="74"/>
  <c r="V60" i="74"/>
  <c r="N60" i="74"/>
  <c r="L60" i="74"/>
  <c r="J60" i="74"/>
  <c r="B60" i="74"/>
  <c r="Z59" i="74"/>
  <c r="X59" i="74"/>
  <c r="R59" i="74"/>
  <c r="N59" i="74"/>
  <c r="L59" i="74"/>
  <c r="B59" i="74"/>
  <c r="Z58" i="74"/>
  <c r="X58" i="74"/>
  <c r="T58" i="74"/>
  <c r="P58" i="74"/>
  <c r="H58" i="74"/>
  <c r="N58" i="74" s="1"/>
  <c r="F58" i="74"/>
  <c r="D58" i="74"/>
  <c r="B58" i="74"/>
  <c r="Z57" i="74"/>
  <c r="X57" i="74"/>
  <c r="N57" i="74"/>
  <c r="L57" i="74"/>
  <c r="B57" i="74"/>
  <c r="Z56" i="74"/>
  <c r="X56" i="74"/>
  <c r="V56" i="74"/>
  <c r="R56" i="74"/>
  <c r="N56" i="74"/>
  <c r="L56" i="74"/>
  <c r="B56" i="74"/>
  <c r="Z55" i="74"/>
  <c r="T55" i="74"/>
  <c r="P55" i="74"/>
  <c r="X55" i="74" s="1"/>
  <c r="N55" i="74"/>
  <c r="H55" i="74"/>
  <c r="D55" i="74"/>
  <c r="L55" i="74" s="1"/>
  <c r="B55" i="74"/>
  <c r="Z54" i="74"/>
  <c r="X54" i="74"/>
  <c r="N54" i="74"/>
  <c r="L54" i="74"/>
  <c r="B54" i="74"/>
  <c r="Z53" i="74"/>
  <c r="X53" i="74"/>
  <c r="R53" i="74"/>
  <c r="N53" i="74"/>
  <c r="L53" i="74"/>
  <c r="B53" i="74"/>
  <c r="T52" i="74"/>
  <c r="Z52" i="74" s="1"/>
  <c r="R52" i="74"/>
  <c r="P52" i="74"/>
  <c r="X52" i="74" s="1"/>
  <c r="N52" i="74"/>
  <c r="H52" i="74"/>
  <c r="F52" i="74"/>
  <c r="D52" i="74"/>
  <c r="L52" i="74" s="1"/>
  <c r="B52" i="74"/>
  <c r="Z51" i="74"/>
  <c r="X51" i="74"/>
  <c r="N51" i="74"/>
  <c r="L51" i="74"/>
  <c r="B51" i="74"/>
  <c r="Z50" i="74"/>
  <c r="X50" i="74"/>
  <c r="T50" i="74"/>
  <c r="R50" i="74"/>
  <c r="P50" i="74"/>
  <c r="N50" i="74"/>
  <c r="H50" i="74"/>
  <c r="L50" i="74" s="1"/>
  <c r="D50" i="74"/>
  <c r="B50" i="74"/>
  <c r="Z49" i="74"/>
  <c r="X49" i="74"/>
  <c r="R49" i="74"/>
  <c r="N49" i="74"/>
  <c r="L49" i="74"/>
  <c r="B49" i="74"/>
  <c r="T48" i="74"/>
  <c r="X48" i="74" s="1"/>
  <c r="P48" i="74"/>
  <c r="H48" i="74"/>
  <c r="N48" i="74" s="1"/>
  <c r="F48" i="74"/>
  <c r="D48" i="74"/>
  <c r="B48" i="74"/>
  <c r="X47" i="74"/>
  <c r="Z47" i="74" s="1"/>
  <c r="V47" i="74"/>
  <c r="L47" i="74"/>
  <c r="N47" i="74" s="1"/>
  <c r="B47" i="74"/>
  <c r="Z46" i="74"/>
  <c r="X46" i="74"/>
  <c r="T46" i="74"/>
  <c r="R46" i="74"/>
  <c r="P46" i="74"/>
  <c r="H46" i="74"/>
  <c r="F46" i="74"/>
  <c r="D46" i="74"/>
  <c r="L46" i="74" s="1"/>
  <c r="B46" i="74"/>
  <c r="Z45" i="74"/>
  <c r="X45" i="74"/>
  <c r="R45" i="74"/>
  <c r="N45" i="74"/>
  <c r="L45" i="74"/>
  <c r="F45" i="74"/>
  <c r="B45" i="74"/>
  <c r="Z44" i="74"/>
  <c r="V44" i="74"/>
  <c r="T44" i="74"/>
  <c r="X44" i="74" s="1"/>
  <c r="P44" i="74"/>
  <c r="N44" i="74"/>
  <c r="L44" i="74"/>
  <c r="H44" i="74"/>
  <c r="F44" i="74"/>
  <c r="D44" i="74"/>
  <c r="B44" i="74"/>
  <c r="Z43" i="74"/>
  <c r="X43" i="74"/>
  <c r="V43" i="74"/>
  <c r="N43" i="74"/>
  <c r="L43" i="74"/>
  <c r="B43" i="74"/>
  <c r="V42" i="74"/>
  <c r="T42" i="74"/>
  <c r="Z42" i="74" s="1"/>
  <c r="R42" i="74"/>
  <c r="P42" i="74"/>
  <c r="X42" i="74" s="1"/>
  <c r="J42" i="74"/>
  <c r="H42" i="74"/>
  <c r="L42" i="74" s="1"/>
  <c r="D42" i="74"/>
  <c r="B42" i="74"/>
  <c r="Z41" i="74"/>
  <c r="X41" i="74"/>
  <c r="R41" i="74"/>
  <c r="N41" i="74"/>
  <c r="L41" i="74"/>
  <c r="F41" i="74"/>
  <c r="B41" i="74"/>
  <c r="Z40" i="74"/>
  <c r="X40" i="74"/>
  <c r="N40" i="74"/>
  <c r="L40" i="74"/>
  <c r="F40" i="74"/>
  <c r="B40" i="74"/>
  <c r="Z39" i="74"/>
  <c r="X39" i="74"/>
  <c r="V39" i="74"/>
  <c r="N39" i="74"/>
  <c r="L39" i="74"/>
  <c r="B39" i="74"/>
  <c r="Z38" i="74"/>
  <c r="X38" i="74"/>
  <c r="N38" i="74"/>
  <c r="L38" i="74"/>
  <c r="B38" i="74"/>
  <c r="Z37" i="74"/>
  <c r="X37" i="74"/>
  <c r="R37" i="74"/>
  <c r="N37" i="74"/>
  <c r="L37" i="74"/>
  <c r="B37" i="74"/>
  <c r="Z36" i="74"/>
  <c r="X36" i="74"/>
  <c r="V36" i="74"/>
  <c r="N36" i="74"/>
  <c r="L36" i="74"/>
  <c r="B36" i="74"/>
  <c r="Z35" i="74"/>
  <c r="X35" i="74"/>
  <c r="N35" i="74"/>
  <c r="L35" i="74"/>
  <c r="F35" i="74"/>
  <c r="B35" i="74"/>
  <c r="Z34" i="74"/>
  <c r="X34" i="74"/>
  <c r="V34" i="74"/>
  <c r="N34" i="74"/>
  <c r="L34" i="74"/>
  <c r="B34" i="74"/>
  <c r="Z33" i="74"/>
  <c r="X33" i="74"/>
  <c r="V33" i="74"/>
  <c r="R33" i="74"/>
  <c r="N33" i="74"/>
  <c r="L33" i="74"/>
  <c r="F33" i="74"/>
  <c r="B33" i="74"/>
  <c r="Z32" i="74"/>
  <c r="X32" i="74"/>
  <c r="V32" i="74"/>
  <c r="N32" i="74"/>
  <c r="L32" i="74"/>
  <c r="F32" i="74"/>
  <c r="B32" i="74"/>
  <c r="Z31" i="74"/>
  <c r="V31" i="74"/>
  <c r="T31" i="74"/>
  <c r="P31" i="74"/>
  <c r="X31" i="74" s="1"/>
  <c r="H31" i="74"/>
  <c r="N31" i="74" s="1"/>
  <c r="D31" i="74"/>
  <c r="L31" i="74" s="1"/>
  <c r="B31" i="74"/>
  <c r="Z30" i="74"/>
  <c r="X30" i="74"/>
  <c r="N30" i="74"/>
  <c r="L30" i="74"/>
  <c r="F30" i="74"/>
  <c r="B30" i="74"/>
  <c r="Z29" i="74"/>
  <c r="X29" i="74"/>
  <c r="N29" i="74"/>
  <c r="L29" i="74"/>
  <c r="F29" i="74"/>
  <c r="B29" i="74"/>
  <c r="Z28" i="74"/>
  <c r="X28" i="74"/>
  <c r="R28" i="74"/>
  <c r="N28" i="74"/>
  <c r="L28" i="74"/>
  <c r="B28" i="74"/>
  <c r="Z27" i="74"/>
  <c r="X27" i="74"/>
  <c r="R27" i="74"/>
  <c r="N27" i="74"/>
  <c r="L27" i="74"/>
  <c r="F27" i="74"/>
  <c r="B27" i="74"/>
  <c r="Z26" i="74"/>
  <c r="X26" i="74"/>
  <c r="N26" i="74"/>
  <c r="L26" i="74"/>
  <c r="F26" i="74"/>
  <c r="B26" i="74"/>
  <c r="Z25" i="74"/>
  <c r="X25" i="74"/>
  <c r="R25" i="74"/>
  <c r="N25" i="74"/>
  <c r="L25" i="74"/>
  <c r="F25" i="74"/>
  <c r="B25" i="74"/>
  <c r="Z24" i="74"/>
  <c r="X24" i="74"/>
  <c r="V24" i="74"/>
  <c r="R24" i="74"/>
  <c r="N24" i="74"/>
  <c r="L24" i="74"/>
  <c r="B24" i="74"/>
  <c r="Z23" i="74"/>
  <c r="X23" i="74"/>
  <c r="N23" i="74"/>
  <c r="L23" i="74"/>
  <c r="F23" i="74"/>
  <c r="B23" i="74"/>
  <c r="Z22" i="74"/>
  <c r="X22" i="74"/>
  <c r="T22" i="74"/>
  <c r="R22" i="74"/>
  <c r="P22" i="74"/>
  <c r="N22" i="74"/>
  <c r="H22" i="74"/>
  <c r="L22" i="74" s="1"/>
  <c r="F22" i="74"/>
  <c r="D22" i="74"/>
  <c r="B22" i="74"/>
  <c r="T21" i="74"/>
  <c r="P21" i="74"/>
  <c r="N21" i="74"/>
  <c r="H21" i="74"/>
  <c r="D21" i="74"/>
  <c r="L21" i="74" s="1"/>
  <c r="D19" i="74"/>
  <c r="D70" i="74" s="1"/>
  <c r="Z17" i="74"/>
  <c r="X17" i="74"/>
  <c r="N17" i="74"/>
  <c r="L17" i="74"/>
  <c r="F17" i="74"/>
  <c r="B17" i="74"/>
  <c r="Z16" i="74"/>
  <c r="X16" i="74"/>
  <c r="R16" i="74"/>
  <c r="N16" i="74"/>
  <c r="L16" i="74"/>
  <c r="B16" i="74"/>
  <c r="T15" i="74"/>
  <c r="Z15" i="74" s="1"/>
  <c r="P15" i="74"/>
  <c r="N15" i="74"/>
  <c r="H15" i="74"/>
  <c r="D15" i="74"/>
  <c r="L15" i="74" s="1"/>
  <c r="Z13" i="74"/>
  <c r="X13" i="74"/>
  <c r="P13" i="74"/>
  <c r="P12" i="74" s="1"/>
  <c r="R61" i="74" s="1"/>
  <c r="N13" i="74"/>
  <c r="D13" i="74"/>
  <c r="L13" i="74" s="1"/>
  <c r="B13" i="74"/>
  <c r="T12" i="74"/>
  <c r="V46" i="74" s="1"/>
  <c r="H12" i="74"/>
  <c r="J65" i="74" s="1"/>
  <c r="D12" i="74"/>
  <c r="F49" i="74" s="1"/>
  <c r="D6" i="74"/>
  <c r="D4" i="74"/>
  <c r="F86" i="73"/>
  <c r="Z81" i="73"/>
  <c r="X81" i="73"/>
  <c r="N81" i="73"/>
  <c r="L81" i="73"/>
  <c r="J81" i="73"/>
  <c r="Z77" i="73"/>
  <c r="X77" i="73"/>
  <c r="V77" i="73"/>
  <c r="T77" i="73"/>
  <c r="P77" i="73"/>
  <c r="J77" i="73"/>
  <c r="H77" i="73"/>
  <c r="N77" i="73" s="1"/>
  <c r="D77" i="73"/>
  <c r="L77" i="73" s="1"/>
  <c r="Z75" i="73"/>
  <c r="X75" i="73"/>
  <c r="L75" i="73"/>
  <c r="N75" i="73" s="1"/>
  <c r="B75" i="73"/>
  <c r="X74" i="73"/>
  <c r="T74" i="73"/>
  <c r="P74" i="73"/>
  <c r="J74" i="73"/>
  <c r="H74" i="73"/>
  <c r="D74" i="73"/>
  <c r="L74" i="73" s="1"/>
  <c r="N74" i="73" s="1"/>
  <c r="B74" i="73"/>
  <c r="Z73" i="73"/>
  <c r="X73" i="73"/>
  <c r="N73" i="73"/>
  <c r="L73" i="73"/>
  <c r="B73" i="73"/>
  <c r="T72" i="73"/>
  <c r="P72" i="73"/>
  <c r="X72" i="73" s="1"/>
  <c r="N72" i="73"/>
  <c r="L72" i="73"/>
  <c r="H72" i="73"/>
  <c r="F72" i="73"/>
  <c r="D72" i="73"/>
  <c r="B72" i="73"/>
  <c r="Z71" i="73"/>
  <c r="X71" i="73"/>
  <c r="N71" i="73"/>
  <c r="L71" i="73"/>
  <c r="B71" i="73"/>
  <c r="Z70" i="73"/>
  <c r="X70" i="73"/>
  <c r="L70" i="73"/>
  <c r="N70" i="73" s="1"/>
  <c r="B70" i="73"/>
  <c r="T69" i="73"/>
  <c r="P69" i="73"/>
  <c r="H69" i="73"/>
  <c r="D69" i="73"/>
  <c r="B69" i="73"/>
  <c r="X68" i="73"/>
  <c r="Z68" i="73" s="1"/>
  <c r="N68" i="73"/>
  <c r="L68" i="73"/>
  <c r="F68" i="73"/>
  <c r="B68" i="73"/>
  <c r="Z67" i="73"/>
  <c r="X67" i="73"/>
  <c r="N67" i="73"/>
  <c r="L67" i="73"/>
  <c r="B67" i="73"/>
  <c r="X66" i="73"/>
  <c r="Z66" i="73" s="1"/>
  <c r="N66" i="73"/>
  <c r="L66" i="73"/>
  <c r="B66" i="73"/>
  <c r="T65" i="73"/>
  <c r="Z65" i="73" s="1"/>
  <c r="P65" i="73"/>
  <c r="X65" i="73" s="1"/>
  <c r="J65" i="73"/>
  <c r="H65" i="73"/>
  <c r="F65" i="73"/>
  <c r="D65" i="73"/>
  <c r="L65" i="73" s="1"/>
  <c r="N65" i="73" s="1"/>
  <c r="B65" i="73"/>
  <c r="X64" i="73"/>
  <c r="Z64" i="73" s="1"/>
  <c r="N64" i="73"/>
  <c r="L64" i="73"/>
  <c r="B64" i="73"/>
  <c r="Z63" i="73"/>
  <c r="X63" i="73"/>
  <c r="N63" i="73"/>
  <c r="L63" i="73"/>
  <c r="F63" i="73"/>
  <c r="B63" i="73"/>
  <c r="Z62" i="73"/>
  <c r="X62" i="73"/>
  <c r="T62" i="73"/>
  <c r="P62" i="73"/>
  <c r="H62" i="73"/>
  <c r="F62" i="73"/>
  <c r="D62" i="73"/>
  <c r="L62" i="73" s="1"/>
  <c r="B62" i="73"/>
  <c r="Z61" i="73"/>
  <c r="X61" i="73"/>
  <c r="V61" i="73"/>
  <c r="L61" i="73"/>
  <c r="N61" i="73" s="1"/>
  <c r="B61" i="73"/>
  <c r="Z60" i="73"/>
  <c r="X60" i="73"/>
  <c r="N60" i="73"/>
  <c r="L60" i="73"/>
  <c r="B60" i="73"/>
  <c r="T59" i="73"/>
  <c r="Z59" i="73" s="1"/>
  <c r="P59" i="73"/>
  <c r="X59" i="73" s="1"/>
  <c r="J59" i="73"/>
  <c r="H59" i="73"/>
  <c r="D59" i="73"/>
  <c r="B59" i="73"/>
  <c r="X58" i="73"/>
  <c r="Z58" i="73" s="1"/>
  <c r="L58" i="73"/>
  <c r="N58" i="73" s="1"/>
  <c r="B58" i="73"/>
  <c r="Z57" i="73"/>
  <c r="X57" i="73"/>
  <c r="V57" i="73"/>
  <c r="N57" i="73"/>
  <c r="L57" i="73"/>
  <c r="F57" i="73"/>
  <c r="B57" i="73"/>
  <c r="T56" i="73"/>
  <c r="P56" i="73"/>
  <c r="X56" i="73" s="1"/>
  <c r="Z56" i="73" s="1"/>
  <c r="H56" i="73"/>
  <c r="D56" i="73"/>
  <c r="B56" i="73"/>
  <c r="Z55" i="73"/>
  <c r="X55" i="73"/>
  <c r="N55" i="73"/>
  <c r="L55" i="73"/>
  <c r="J55" i="73"/>
  <c r="B55" i="73"/>
  <c r="X54" i="73"/>
  <c r="Z54" i="73" s="1"/>
  <c r="T54" i="73"/>
  <c r="P54" i="73"/>
  <c r="L54" i="73"/>
  <c r="H54" i="73"/>
  <c r="N54" i="73" s="1"/>
  <c r="D54" i="73"/>
  <c r="B54" i="73"/>
  <c r="Z53" i="73"/>
  <c r="X53" i="73"/>
  <c r="V53" i="73"/>
  <c r="L53" i="73"/>
  <c r="N53" i="73" s="1"/>
  <c r="J53" i="73"/>
  <c r="B53" i="73"/>
  <c r="T52" i="73"/>
  <c r="P52" i="73"/>
  <c r="X52" i="73" s="1"/>
  <c r="Z52" i="73" s="1"/>
  <c r="H52" i="73"/>
  <c r="D52" i="73"/>
  <c r="L52" i="73" s="1"/>
  <c r="B52" i="73"/>
  <c r="X51" i="73"/>
  <c r="Z51" i="73" s="1"/>
  <c r="N51" i="73"/>
  <c r="L51" i="73"/>
  <c r="B51" i="73"/>
  <c r="T50" i="73"/>
  <c r="P50" i="73"/>
  <c r="X50" i="73" s="1"/>
  <c r="L50" i="73"/>
  <c r="N50" i="73" s="1"/>
  <c r="H50" i="73"/>
  <c r="D50" i="73"/>
  <c r="B50" i="73"/>
  <c r="Z49" i="73"/>
  <c r="X49" i="73"/>
  <c r="N49" i="73"/>
  <c r="L49" i="73"/>
  <c r="J49" i="73"/>
  <c r="F49" i="73"/>
  <c r="B49" i="73"/>
  <c r="X48" i="73"/>
  <c r="T48" i="73"/>
  <c r="Z48" i="73" s="1"/>
  <c r="P48" i="73"/>
  <c r="H48" i="73"/>
  <c r="N48" i="73" s="1"/>
  <c r="D48" i="73"/>
  <c r="B48" i="73"/>
  <c r="Z47" i="73"/>
  <c r="X47" i="73"/>
  <c r="N47" i="73"/>
  <c r="L47" i="73"/>
  <c r="B47" i="73"/>
  <c r="Z46" i="73"/>
  <c r="T46" i="73"/>
  <c r="P46" i="73"/>
  <c r="X46" i="73" s="1"/>
  <c r="H46" i="73"/>
  <c r="D46" i="73"/>
  <c r="B46" i="73"/>
  <c r="Z45" i="73"/>
  <c r="X45" i="73"/>
  <c r="N45" i="73"/>
  <c r="L45" i="73"/>
  <c r="J45" i="73"/>
  <c r="F45" i="73"/>
  <c r="B45" i="73"/>
  <c r="Z44" i="73"/>
  <c r="X44" i="73"/>
  <c r="N44" i="73"/>
  <c r="L44" i="73"/>
  <c r="B44" i="73"/>
  <c r="Z43" i="73"/>
  <c r="X43" i="73"/>
  <c r="L43" i="73"/>
  <c r="N43" i="73" s="1"/>
  <c r="B43" i="73"/>
  <c r="Z42" i="73"/>
  <c r="X42" i="73"/>
  <c r="V42" i="73"/>
  <c r="N42" i="73"/>
  <c r="L42" i="73"/>
  <c r="B42" i="73"/>
  <c r="Z41" i="73"/>
  <c r="X41" i="73"/>
  <c r="V41" i="73"/>
  <c r="N41" i="73"/>
  <c r="L41" i="73"/>
  <c r="F41" i="73"/>
  <c r="B41" i="73"/>
  <c r="X40" i="73"/>
  <c r="Z40" i="73" s="1"/>
  <c r="L40" i="73"/>
  <c r="N40" i="73" s="1"/>
  <c r="B40" i="73"/>
  <c r="Z39" i="73"/>
  <c r="X39" i="73"/>
  <c r="N39" i="73"/>
  <c r="L39" i="73"/>
  <c r="B39" i="73"/>
  <c r="Z38" i="73"/>
  <c r="X38" i="73"/>
  <c r="N38" i="73"/>
  <c r="L38" i="73"/>
  <c r="F38" i="73"/>
  <c r="B38" i="73"/>
  <c r="Z37" i="73"/>
  <c r="X37" i="73"/>
  <c r="N37" i="73"/>
  <c r="L37" i="73"/>
  <c r="B37" i="73"/>
  <c r="Z36" i="73"/>
  <c r="X36" i="73"/>
  <c r="N36" i="73"/>
  <c r="L36" i="73"/>
  <c r="F36" i="73"/>
  <c r="B36" i="73"/>
  <c r="Z35" i="73"/>
  <c r="T35" i="73"/>
  <c r="P35" i="73"/>
  <c r="X35" i="73" s="1"/>
  <c r="J35" i="73"/>
  <c r="H35" i="73"/>
  <c r="N35" i="73" s="1"/>
  <c r="F35" i="73"/>
  <c r="D35" i="73"/>
  <c r="L35" i="73" s="1"/>
  <c r="B35" i="73"/>
  <c r="Z34" i="73"/>
  <c r="X34" i="73"/>
  <c r="N34" i="73"/>
  <c r="L34" i="73"/>
  <c r="B34" i="73"/>
  <c r="X33" i="73"/>
  <c r="Z33" i="73" s="1"/>
  <c r="N33" i="73"/>
  <c r="L33" i="73"/>
  <c r="J33" i="73"/>
  <c r="B33" i="73"/>
  <c r="Z32" i="73"/>
  <c r="X32" i="73"/>
  <c r="N32" i="73"/>
  <c r="L32" i="73"/>
  <c r="J32" i="73"/>
  <c r="B32" i="73"/>
  <c r="Z31" i="73"/>
  <c r="X31" i="73"/>
  <c r="N31" i="73"/>
  <c r="L31" i="73"/>
  <c r="B31" i="73"/>
  <c r="Z30" i="73"/>
  <c r="X30" i="73"/>
  <c r="N30" i="73"/>
  <c r="L30" i="73"/>
  <c r="B30" i="73"/>
  <c r="Z29" i="73"/>
  <c r="X29" i="73"/>
  <c r="L29" i="73"/>
  <c r="N29" i="73" s="1"/>
  <c r="J29" i="73"/>
  <c r="F29" i="73"/>
  <c r="B29" i="73"/>
  <c r="Z28" i="73"/>
  <c r="X28" i="73"/>
  <c r="N28" i="73"/>
  <c r="L28" i="73"/>
  <c r="B28" i="73"/>
  <c r="X27" i="73"/>
  <c r="Z27" i="73" s="1"/>
  <c r="N27" i="73"/>
  <c r="L27" i="73"/>
  <c r="J27" i="73"/>
  <c r="B27" i="73"/>
  <c r="X26" i="73"/>
  <c r="Z26" i="73" s="1"/>
  <c r="N26" i="73"/>
  <c r="L26" i="73"/>
  <c r="F26" i="73"/>
  <c r="B26" i="73"/>
  <c r="T25" i="73"/>
  <c r="P25" i="73"/>
  <c r="L25" i="73"/>
  <c r="N25" i="73" s="1"/>
  <c r="H25" i="73"/>
  <c r="D25" i="73"/>
  <c r="B25" i="73"/>
  <c r="X24" i="73"/>
  <c r="T24" i="73"/>
  <c r="P24" i="73"/>
  <c r="H24" i="73"/>
  <c r="D24" i="73"/>
  <c r="Z20" i="73"/>
  <c r="X20" i="73"/>
  <c r="N20" i="73"/>
  <c r="L20" i="73"/>
  <c r="J20" i="73"/>
  <c r="B20" i="73"/>
  <c r="Z19" i="73"/>
  <c r="X19" i="73"/>
  <c r="N19" i="73"/>
  <c r="L19" i="73"/>
  <c r="J19" i="73"/>
  <c r="B19" i="73"/>
  <c r="Z18" i="73"/>
  <c r="X18" i="73"/>
  <c r="L18" i="73"/>
  <c r="N18" i="73" s="1"/>
  <c r="J18" i="73"/>
  <c r="B18" i="73"/>
  <c r="X17" i="73"/>
  <c r="T17" i="73"/>
  <c r="Z17" i="73" s="1"/>
  <c r="P17" i="73"/>
  <c r="H17" i="73"/>
  <c r="D17" i="73"/>
  <c r="L17" i="73" s="1"/>
  <c r="Z15" i="73"/>
  <c r="X15" i="73"/>
  <c r="P15" i="73"/>
  <c r="N15" i="73"/>
  <c r="D15" i="73"/>
  <c r="L15" i="73" s="1"/>
  <c r="B15" i="73"/>
  <c r="P14" i="73"/>
  <c r="P12" i="73" s="1"/>
  <c r="R53" i="73" s="1"/>
  <c r="L14" i="73"/>
  <c r="N14" i="73" s="1"/>
  <c r="D14" i="73"/>
  <c r="B14" i="73"/>
  <c r="Z13" i="73"/>
  <c r="X13" i="73"/>
  <c r="P13" i="73"/>
  <c r="N13" i="73"/>
  <c r="L13" i="73"/>
  <c r="D13" i="73"/>
  <c r="D12" i="73" s="1"/>
  <c r="F81" i="73" s="1"/>
  <c r="B13" i="73"/>
  <c r="T12" i="73"/>
  <c r="H12" i="73"/>
  <c r="D6" i="73"/>
  <c r="D4" i="73"/>
  <c r="Z107" i="71"/>
  <c r="X107" i="71"/>
  <c r="V107" i="71"/>
  <c r="L107" i="71"/>
  <c r="N107" i="71" s="1"/>
  <c r="J107" i="71"/>
  <c r="P103" i="71"/>
  <c r="X103" i="71" s="1"/>
  <c r="Z103" i="71" s="1"/>
  <c r="L103" i="71"/>
  <c r="N103" i="71" s="1"/>
  <c r="D103" i="71"/>
  <c r="B103" i="71"/>
  <c r="Z102" i="71"/>
  <c r="X102" i="71"/>
  <c r="P102" i="71"/>
  <c r="N102" i="71"/>
  <c r="J102" i="71"/>
  <c r="D102" i="71"/>
  <c r="B102" i="71"/>
  <c r="V101" i="71"/>
  <c r="T101" i="71"/>
  <c r="P101" i="71"/>
  <c r="X101" i="71" s="1"/>
  <c r="J101" i="71"/>
  <c r="H101" i="71"/>
  <c r="Z99" i="71"/>
  <c r="X99" i="71"/>
  <c r="N99" i="71"/>
  <c r="L99" i="71"/>
  <c r="J99" i="71"/>
  <c r="B99" i="71"/>
  <c r="X98" i="71"/>
  <c r="T98" i="71"/>
  <c r="Z98" i="71" s="1"/>
  <c r="P98" i="71"/>
  <c r="H98" i="71"/>
  <c r="N98" i="71" s="1"/>
  <c r="D98" i="71"/>
  <c r="B98" i="71"/>
  <c r="Z97" i="71"/>
  <c r="X97" i="71"/>
  <c r="L97" i="71"/>
  <c r="N97" i="71" s="1"/>
  <c r="J97" i="71"/>
  <c r="B97" i="71"/>
  <c r="X96" i="71"/>
  <c r="T96" i="71"/>
  <c r="P96" i="71"/>
  <c r="L96" i="71"/>
  <c r="J96" i="71"/>
  <c r="H96" i="71"/>
  <c r="N96" i="71" s="1"/>
  <c r="D96" i="71"/>
  <c r="B96" i="71"/>
  <c r="Z95" i="71"/>
  <c r="X95" i="71"/>
  <c r="N95" i="71"/>
  <c r="L95" i="71"/>
  <c r="J95" i="71"/>
  <c r="B95" i="71"/>
  <c r="Z94" i="71"/>
  <c r="X94" i="71"/>
  <c r="L94" i="71"/>
  <c r="N94" i="71" s="1"/>
  <c r="B94" i="71"/>
  <c r="Z93" i="71"/>
  <c r="X93" i="71"/>
  <c r="N93" i="71"/>
  <c r="L93" i="71"/>
  <c r="J93" i="71"/>
  <c r="B93" i="71"/>
  <c r="Z92" i="71"/>
  <c r="X92" i="71"/>
  <c r="N92" i="71"/>
  <c r="L92" i="71"/>
  <c r="J92" i="71"/>
  <c r="B92" i="71"/>
  <c r="T91" i="71"/>
  <c r="P91" i="71"/>
  <c r="X91" i="71" s="1"/>
  <c r="Z91" i="71" s="1"/>
  <c r="N91" i="71"/>
  <c r="L91" i="71"/>
  <c r="H91" i="71"/>
  <c r="J91" i="71" s="1"/>
  <c r="D91" i="71"/>
  <c r="B91" i="71"/>
  <c r="X90" i="71"/>
  <c r="Z90" i="71" s="1"/>
  <c r="L90" i="71"/>
  <c r="N90" i="71" s="1"/>
  <c r="J90" i="71"/>
  <c r="B90" i="71"/>
  <c r="Z89" i="71"/>
  <c r="X89" i="71"/>
  <c r="V89" i="71"/>
  <c r="N89" i="71"/>
  <c r="L89" i="71"/>
  <c r="B89" i="71"/>
  <c r="V88" i="71"/>
  <c r="T88" i="71"/>
  <c r="P88" i="71"/>
  <c r="X88" i="71" s="1"/>
  <c r="Z88" i="71" s="1"/>
  <c r="H88" i="71"/>
  <c r="D88" i="71"/>
  <c r="L88" i="71" s="1"/>
  <c r="B88" i="71"/>
  <c r="X87" i="71"/>
  <c r="Z87" i="71" s="1"/>
  <c r="V87" i="71"/>
  <c r="N87" i="71"/>
  <c r="L87" i="71"/>
  <c r="J87" i="71"/>
  <c r="B87" i="71"/>
  <c r="T86" i="71"/>
  <c r="P86" i="71"/>
  <c r="X86" i="71" s="1"/>
  <c r="H86" i="71"/>
  <c r="D86" i="71"/>
  <c r="B86" i="71"/>
  <c r="Z85" i="71"/>
  <c r="X85" i="71"/>
  <c r="N85" i="71"/>
  <c r="L85" i="71"/>
  <c r="J85" i="71"/>
  <c r="B85" i="71"/>
  <c r="T84" i="71"/>
  <c r="P84" i="71"/>
  <c r="X84" i="71" s="1"/>
  <c r="H84" i="71"/>
  <c r="D84" i="71"/>
  <c r="L84" i="71" s="1"/>
  <c r="N84" i="71" s="1"/>
  <c r="B84" i="71"/>
  <c r="Z83" i="71"/>
  <c r="X83" i="71"/>
  <c r="N83" i="71"/>
  <c r="L83" i="71"/>
  <c r="J83" i="71"/>
  <c r="B83" i="71"/>
  <c r="X82" i="71"/>
  <c r="Z82" i="71" s="1"/>
  <c r="L82" i="71"/>
  <c r="N82" i="71" s="1"/>
  <c r="J82" i="71"/>
  <c r="B82" i="71"/>
  <c r="Z81" i="71"/>
  <c r="X81" i="71"/>
  <c r="T81" i="71"/>
  <c r="P81" i="71"/>
  <c r="J81" i="71"/>
  <c r="H81" i="71"/>
  <c r="D81" i="71"/>
  <c r="B81" i="71"/>
  <c r="X80" i="71"/>
  <c r="Z80" i="71" s="1"/>
  <c r="L80" i="71"/>
  <c r="N80" i="71" s="1"/>
  <c r="B80" i="71"/>
  <c r="X79" i="71"/>
  <c r="Z79" i="71" s="1"/>
  <c r="T79" i="71"/>
  <c r="P79" i="71"/>
  <c r="H79" i="71"/>
  <c r="D79" i="71"/>
  <c r="L79" i="71" s="1"/>
  <c r="N79" i="71" s="1"/>
  <c r="B79" i="71"/>
  <c r="Z78" i="71"/>
  <c r="X78" i="71"/>
  <c r="L78" i="71"/>
  <c r="N78" i="71" s="1"/>
  <c r="B78" i="71"/>
  <c r="X77" i="71"/>
  <c r="Z77" i="71" s="1"/>
  <c r="T77" i="71"/>
  <c r="P77" i="71"/>
  <c r="N77" i="71"/>
  <c r="J77" i="71"/>
  <c r="H77" i="71"/>
  <c r="D77" i="71"/>
  <c r="L77" i="71" s="1"/>
  <c r="B77" i="71"/>
  <c r="Z76" i="71"/>
  <c r="X76" i="71"/>
  <c r="V76" i="71"/>
  <c r="L76" i="71"/>
  <c r="N76" i="71" s="1"/>
  <c r="B76" i="71"/>
  <c r="V75" i="71"/>
  <c r="T75" i="71"/>
  <c r="P75" i="71"/>
  <c r="X75" i="71" s="1"/>
  <c r="N75" i="71"/>
  <c r="L75" i="71"/>
  <c r="J75" i="71"/>
  <c r="H75" i="71"/>
  <c r="D75" i="71"/>
  <c r="B75" i="71"/>
  <c r="X74" i="71"/>
  <c r="Z74" i="71" s="1"/>
  <c r="N74" i="71"/>
  <c r="L74" i="71"/>
  <c r="B74" i="71"/>
  <c r="T73" i="71"/>
  <c r="P73" i="71"/>
  <c r="X73" i="71" s="1"/>
  <c r="Z73" i="71" s="1"/>
  <c r="L73" i="71"/>
  <c r="N73" i="71" s="1"/>
  <c r="J73" i="71"/>
  <c r="H73" i="71"/>
  <c r="D73" i="71"/>
  <c r="B73" i="71"/>
  <c r="Z72" i="71"/>
  <c r="X72" i="71"/>
  <c r="N72" i="71"/>
  <c r="L72" i="71"/>
  <c r="J72" i="71"/>
  <c r="B72" i="71"/>
  <c r="Z71" i="71"/>
  <c r="X71" i="71"/>
  <c r="V71" i="71"/>
  <c r="N71" i="71"/>
  <c r="L71" i="71"/>
  <c r="J71" i="71"/>
  <c r="B71" i="71"/>
  <c r="X70" i="71"/>
  <c r="Z70" i="71" s="1"/>
  <c r="L70" i="71"/>
  <c r="N70" i="71" s="1"/>
  <c r="B70" i="71"/>
  <c r="X69" i="71"/>
  <c r="Z69" i="71" s="1"/>
  <c r="N69" i="71"/>
  <c r="L69" i="71"/>
  <c r="J69" i="71"/>
  <c r="B69" i="71"/>
  <c r="Z68" i="71"/>
  <c r="X68" i="71"/>
  <c r="N68" i="71"/>
  <c r="L68" i="71"/>
  <c r="J68" i="71"/>
  <c r="B68" i="71"/>
  <c r="Z67" i="71"/>
  <c r="X67" i="71"/>
  <c r="N67" i="71"/>
  <c r="L67" i="71"/>
  <c r="J67" i="71"/>
  <c r="B67" i="71"/>
  <c r="X66" i="71"/>
  <c r="Z66" i="71" s="1"/>
  <c r="L66" i="71"/>
  <c r="N66" i="71" s="1"/>
  <c r="B66" i="71"/>
  <c r="Z65" i="71"/>
  <c r="X65" i="71"/>
  <c r="N65" i="71"/>
  <c r="L65" i="71"/>
  <c r="J65" i="71"/>
  <c r="B65" i="71"/>
  <c r="X64" i="71"/>
  <c r="Z64" i="71" s="1"/>
  <c r="N64" i="71"/>
  <c r="L64" i="71"/>
  <c r="J64" i="71"/>
  <c r="B64" i="71"/>
  <c r="Z63" i="71"/>
  <c r="X63" i="71"/>
  <c r="N63" i="71"/>
  <c r="L63" i="71"/>
  <c r="J63" i="71"/>
  <c r="B63" i="71"/>
  <c r="T62" i="71"/>
  <c r="P62" i="71"/>
  <c r="X62" i="71" s="1"/>
  <c r="H62" i="71"/>
  <c r="D62" i="71"/>
  <c r="B62" i="71"/>
  <c r="Z61" i="71"/>
  <c r="X61" i="71"/>
  <c r="N61" i="71"/>
  <c r="L61" i="71"/>
  <c r="B61" i="71"/>
  <c r="X60" i="71"/>
  <c r="Z60" i="71" s="1"/>
  <c r="V60" i="71"/>
  <c r="L60" i="71"/>
  <c r="N60" i="71" s="1"/>
  <c r="B60" i="71"/>
  <c r="Z59" i="71"/>
  <c r="X59" i="71"/>
  <c r="N59" i="71"/>
  <c r="L59" i="71"/>
  <c r="J59" i="71"/>
  <c r="B59" i="71"/>
  <c r="Z58" i="71"/>
  <c r="X58" i="71"/>
  <c r="N58" i="71"/>
  <c r="L58" i="71"/>
  <c r="J58" i="71"/>
  <c r="B58" i="71"/>
  <c r="Z57" i="71"/>
  <c r="X57" i="71"/>
  <c r="N57" i="71"/>
  <c r="L57" i="71"/>
  <c r="B57" i="71"/>
  <c r="X56" i="71"/>
  <c r="Z56" i="71" s="1"/>
  <c r="L56" i="71"/>
  <c r="N56" i="71" s="1"/>
  <c r="B56" i="71"/>
  <c r="Z55" i="71"/>
  <c r="X55" i="71"/>
  <c r="N55" i="71"/>
  <c r="L55" i="71"/>
  <c r="J55" i="71"/>
  <c r="B55" i="71"/>
  <c r="X54" i="71"/>
  <c r="Z54" i="71" s="1"/>
  <c r="L54" i="71"/>
  <c r="N54" i="71" s="1"/>
  <c r="J54" i="71"/>
  <c r="B54" i="71"/>
  <c r="Z53" i="71"/>
  <c r="X53" i="71"/>
  <c r="V53" i="71"/>
  <c r="N53" i="71"/>
  <c r="L53" i="71"/>
  <c r="B53" i="71"/>
  <c r="X52" i="71"/>
  <c r="Z52" i="71" s="1"/>
  <c r="L52" i="71"/>
  <c r="N52" i="71" s="1"/>
  <c r="B52" i="71"/>
  <c r="T51" i="71"/>
  <c r="P51" i="71"/>
  <c r="N51" i="71"/>
  <c r="L51" i="71"/>
  <c r="J51" i="71"/>
  <c r="H51" i="71"/>
  <c r="D51" i="71"/>
  <c r="B51" i="71"/>
  <c r="T50" i="71"/>
  <c r="P50" i="71"/>
  <c r="L50" i="71"/>
  <c r="H50" i="71"/>
  <c r="D50" i="71"/>
  <c r="Z46" i="71"/>
  <c r="X46" i="71"/>
  <c r="V46" i="71"/>
  <c r="N46" i="71"/>
  <c r="L46" i="71"/>
  <c r="B46" i="71"/>
  <c r="Z45" i="71"/>
  <c r="X45" i="71"/>
  <c r="N45" i="71"/>
  <c r="L45" i="71"/>
  <c r="J45" i="71"/>
  <c r="B45" i="71"/>
  <c r="Z44" i="71"/>
  <c r="X44" i="71"/>
  <c r="N44" i="71"/>
  <c r="L44" i="71"/>
  <c r="B44" i="71"/>
  <c r="Z43" i="71"/>
  <c r="X43" i="71"/>
  <c r="V43" i="71"/>
  <c r="N43" i="71"/>
  <c r="L43" i="71"/>
  <c r="J43" i="71"/>
  <c r="B43" i="71"/>
  <c r="Z42" i="71"/>
  <c r="X42" i="71"/>
  <c r="N42" i="71"/>
  <c r="L42" i="71"/>
  <c r="B42" i="71"/>
  <c r="Z41" i="71"/>
  <c r="X41" i="71"/>
  <c r="N41" i="71"/>
  <c r="L41" i="71"/>
  <c r="J41" i="71"/>
  <c r="B41" i="71"/>
  <c r="Z40" i="71"/>
  <c r="X40" i="71"/>
  <c r="N40" i="71"/>
  <c r="L40" i="71"/>
  <c r="B40" i="71"/>
  <c r="Z39" i="71"/>
  <c r="X39" i="71"/>
  <c r="N39" i="71"/>
  <c r="L39" i="71"/>
  <c r="J39" i="71"/>
  <c r="B39" i="71"/>
  <c r="Z38" i="71"/>
  <c r="X38" i="71"/>
  <c r="V38" i="71"/>
  <c r="N38" i="71"/>
  <c r="L38" i="71"/>
  <c r="B38" i="71"/>
  <c r="Z37" i="71"/>
  <c r="X37" i="71"/>
  <c r="N37" i="71"/>
  <c r="L37" i="71"/>
  <c r="J37" i="71"/>
  <c r="B37" i="71"/>
  <c r="Z36" i="71"/>
  <c r="X36" i="71"/>
  <c r="N36" i="71"/>
  <c r="L36" i="71"/>
  <c r="B36" i="71"/>
  <c r="Z35" i="71"/>
  <c r="X35" i="71"/>
  <c r="V35" i="71"/>
  <c r="N35" i="71"/>
  <c r="L35" i="71"/>
  <c r="J35" i="71"/>
  <c r="B35" i="71"/>
  <c r="Z34" i="71"/>
  <c r="X34" i="71"/>
  <c r="N34" i="71"/>
  <c r="L34" i="71"/>
  <c r="B34" i="71"/>
  <c r="Z33" i="71"/>
  <c r="X33" i="71"/>
  <c r="L33" i="71"/>
  <c r="N33" i="71" s="1"/>
  <c r="J33" i="71"/>
  <c r="B33" i="71"/>
  <c r="X32" i="71"/>
  <c r="T32" i="71"/>
  <c r="P32" i="71"/>
  <c r="H32" i="71"/>
  <c r="D32" i="71"/>
  <c r="Z30" i="71"/>
  <c r="X30" i="71"/>
  <c r="P30" i="71"/>
  <c r="N30" i="71"/>
  <c r="D30" i="71"/>
  <c r="L30" i="71" s="1"/>
  <c r="B30" i="71"/>
  <c r="Z29" i="71"/>
  <c r="P29" i="71"/>
  <c r="X29" i="71" s="1"/>
  <c r="N29" i="71"/>
  <c r="L29" i="71"/>
  <c r="D29" i="71"/>
  <c r="B29" i="71"/>
  <c r="Z28" i="71"/>
  <c r="X28" i="71"/>
  <c r="P28" i="71"/>
  <c r="N28" i="71"/>
  <c r="D28" i="71"/>
  <c r="L28" i="71" s="1"/>
  <c r="B28" i="71"/>
  <c r="Z27" i="71"/>
  <c r="P27" i="71"/>
  <c r="X27" i="71" s="1"/>
  <c r="N27" i="71"/>
  <c r="L27" i="71"/>
  <c r="D27" i="71"/>
  <c r="B27" i="71"/>
  <c r="Z26" i="71"/>
  <c r="X26" i="71"/>
  <c r="P26" i="71"/>
  <c r="N26" i="71"/>
  <c r="L26" i="71"/>
  <c r="D26" i="71"/>
  <c r="B26" i="71"/>
  <c r="Z25" i="71"/>
  <c r="P25" i="71"/>
  <c r="X25" i="71" s="1"/>
  <c r="N25" i="71"/>
  <c r="L25" i="71"/>
  <c r="D25" i="71"/>
  <c r="B25" i="71"/>
  <c r="Z24" i="71"/>
  <c r="X24" i="71"/>
  <c r="P24" i="71"/>
  <c r="N24" i="71"/>
  <c r="D24" i="71"/>
  <c r="L24" i="71" s="1"/>
  <c r="B24" i="71"/>
  <c r="Z23" i="71"/>
  <c r="P23" i="71"/>
  <c r="X23" i="71" s="1"/>
  <c r="N23" i="71"/>
  <c r="L23" i="71"/>
  <c r="D23" i="71"/>
  <c r="B23" i="71"/>
  <c r="Z22" i="71"/>
  <c r="P22" i="71"/>
  <c r="X22" i="71" s="1"/>
  <c r="N22" i="71"/>
  <c r="D22" i="71"/>
  <c r="L22" i="71" s="1"/>
  <c r="B22" i="71"/>
  <c r="Z21" i="71"/>
  <c r="P21" i="71"/>
  <c r="X21" i="71" s="1"/>
  <c r="N21" i="71"/>
  <c r="D21" i="71"/>
  <c r="L21" i="71" s="1"/>
  <c r="B21" i="71"/>
  <c r="Z20" i="71"/>
  <c r="X20" i="71"/>
  <c r="P20" i="71"/>
  <c r="N20" i="71"/>
  <c r="D20" i="71"/>
  <c r="L20" i="71" s="1"/>
  <c r="B20" i="71"/>
  <c r="P19" i="71"/>
  <c r="X19" i="71" s="1"/>
  <c r="Z19" i="71" s="1"/>
  <c r="L19" i="71"/>
  <c r="N19" i="71" s="1"/>
  <c r="D19" i="71"/>
  <c r="B19" i="71"/>
  <c r="Z18" i="71"/>
  <c r="X18" i="71"/>
  <c r="P18" i="71"/>
  <c r="N18" i="71"/>
  <c r="D18" i="71"/>
  <c r="L18" i="71" s="1"/>
  <c r="B18" i="71"/>
  <c r="Z17" i="71"/>
  <c r="X17" i="71"/>
  <c r="P17" i="71"/>
  <c r="N17" i="71"/>
  <c r="L17" i="71"/>
  <c r="D17" i="71"/>
  <c r="B17" i="71"/>
  <c r="Z16" i="71"/>
  <c r="X16" i="71"/>
  <c r="P16" i="71"/>
  <c r="N16" i="71"/>
  <c r="D16" i="71"/>
  <c r="L16" i="71" s="1"/>
  <c r="B16" i="71"/>
  <c r="Z15" i="71"/>
  <c r="P15" i="71"/>
  <c r="N15" i="71"/>
  <c r="L15" i="71"/>
  <c r="D15" i="71"/>
  <c r="B15" i="71"/>
  <c r="Z14" i="71"/>
  <c r="X14" i="71"/>
  <c r="P14" i="71"/>
  <c r="N14" i="71"/>
  <c r="D14" i="71"/>
  <c r="B14" i="71"/>
  <c r="Z13" i="71"/>
  <c r="P13" i="71"/>
  <c r="X13" i="71" s="1"/>
  <c r="L13" i="71"/>
  <c r="N13" i="71" s="1"/>
  <c r="D13" i="71"/>
  <c r="B13" i="71"/>
  <c r="T12" i="71"/>
  <c r="V99" i="71" s="1"/>
  <c r="H12" i="71"/>
  <c r="J103" i="71" s="1"/>
  <c r="D6" i="71"/>
  <c r="D4" i="71"/>
  <c r="X84" i="70"/>
  <c r="Z84" i="70" s="1"/>
  <c r="N84" i="70"/>
  <c r="L84" i="70"/>
  <c r="J84" i="70"/>
  <c r="H82" i="70"/>
  <c r="X80" i="70"/>
  <c r="Z80" i="70" s="1"/>
  <c r="P80" i="70"/>
  <c r="J80" i="70"/>
  <c r="D80" i="70"/>
  <c r="L80" i="70" s="1"/>
  <c r="N80" i="70" s="1"/>
  <c r="B80" i="70"/>
  <c r="Z79" i="70"/>
  <c r="X79" i="70"/>
  <c r="V79" i="70"/>
  <c r="T79" i="70"/>
  <c r="P79" i="70"/>
  <c r="J79" i="70"/>
  <c r="H79" i="70"/>
  <c r="Z77" i="70"/>
  <c r="X77" i="70"/>
  <c r="V77" i="70"/>
  <c r="N77" i="70"/>
  <c r="L77" i="70"/>
  <c r="B77" i="70"/>
  <c r="Z76" i="70"/>
  <c r="V76" i="70"/>
  <c r="T76" i="70"/>
  <c r="P76" i="70"/>
  <c r="X76" i="70" s="1"/>
  <c r="L76" i="70"/>
  <c r="H76" i="70"/>
  <c r="N76" i="70" s="1"/>
  <c r="D76" i="70"/>
  <c r="B76" i="70"/>
  <c r="X75" i="70"/>
  <c r="Z75" i="70" s="1"/>
  <c r="V75" i="70"/>
  <c r="N75" i="70"/>
  <c r="L75" i="70"/>
  <c r="J75" i="70"/>
  <c r="B75" i="70"/>
  <c r="T74" i="70"/>
  <c r="P74" i="70"/>
  <c r="H74" i="70"/>
  <c r="D74" i="70"/>
  <c r="B74" i="70"/>
  <c r="X73" i="70"/>
  <c r="Z73" i="70" s="1"/>
  <c r="V73" i="70"/>
  <c r="N73" i="70"/>
  <c r="L73" i="70"/>
  <c r="B73" i="70"/>
  <c r="X72" i="70"/>
  <c r="Z72" i="70" s="1"/>
  <c r="L72" i="70"/>
  <c r="N72" i="70" s="1"/>
  <c r="B72" i="70"/>
  <c r="Z71" i="70"/>
  <c r="X71" i="70"/>
  <c r="V71" i="70"/>
  <c r="N71" i="70"/>
  <c r="L71" i="70"/>
  <c r="B71" i="70"/>
  <c r="Z70" i="70"/>
  <c r="X70" i="70"/>
  <c r="V70" i="70"/>
  <c r="N70" i="70"/>
  <c r="L70" i="70"/>
  <c r="B70" i="70"/>
  <c r="Z69" i="70"/>
  <c r="X69" i="70"/>
  <c r="V69" i="70"/>
  <c r="N69" i="70"/>
  <c r="L69" i="70"/>
  <c r="B69" i="70"/>
  <c r="T68" i="70"/>
  <c r="P68" i="70"/>
  <c r="X68" i="70" s="1"/>
  <c r="N68" i="70"/>
  <c r="H68" i="70"/>
  <c r="D68" i="70"/>
  <c r="L68" i="70" s="1"/>
  <c r="B68" i="70"/>
  <c r="Z67" i="70"/>
  <c r="X67" i="70"/>
  <c r="V67" i="70"/>
  <c r="L67" i="70"/>
  <c r="N67" i="70" s="1"/>
  <c r="J67" i="70"/>
  <c r="B67" i="70"/>
  <c r="T66" i="70"/>
  <c r="Z66" i="70" s="1"/>
  <c r="P66" i="70"/>
  <c r="X66" i="70" s="1"/>
  <c r="N66" i="70"/>
  <c r="H66" i="70"/>
  <c r="D66" i="70"/>
  <c r="L66" i="70" s="1"/>
  <c r="B66" i="70"/>
  <c r="Z65" i="70"/>
  <c r="X65" i="70"/>
  <c r="V65" i="70"/>
  <c r="L65" i="70"/>
  <c r="N65" i="70" s="1"/>
  <c r="B65" i="70"/>
  <c r="Z64" i="70"/>
  <c r="X64" i="70"/>
  <c r="N64" i="70"/>
  <c r="L64" i="70"/>
  <c r="B64" i="70"/>
  <c r="X63" i="70"/>
  <c r="Z63" i="70" s="1"/>
  <c r="V63" i="70"/>
  <c r="T63" i="70"/>
  <c r="P63" i="70"/>
  <c r="J63" i="70"/>
  <c r="H63" i="70"/>
  <c r="D63" i="70"/>
  <c r="L63" i="70" s="1"/>
  <c r="N63" i="70" s="1"/>
  <c r="B63" i="70"/>
  <c r="X62" i="70"/>
  <c r="Z62" i="70" s="1"/>
  <c r="V62" i="70"/>
  <c r="L62" i="70"/>
  <c r="N62" i="70" s="1"/>
  <c r="B62" i="70"/>
  <c r="Z61" i="70"/>
  <c r="X61" i="70"/>
  <c r="V61" i="70"/>
  <c r="N61" i="70"/>
  <c r="L61" i="70"/>
  <c r="J61" i="70"/>
  <c r="B61" i="70"/>
  <c r="X60" i="70"/>
  <c r="T60" i="70"/>
  <c r="P60" i="70"/>
  <c r="H60" i="70"/>
  <c r="D60" i="70"/>
  <c r="L60" i="70" s="1"/>
  <c r="B60" i="70"/>
  <c r="Z59" i="70"/>
  <c r="X59" i="70"/>
  <c r="V59" i="70"/>
  <c r="L59" i="70"/>
  <c r="N59" i="70" s="1"/>
  <c r="B59" i="70"/>
  <c r="T58" i="70"/>
  <c r="P58" i="70"/>
  <c r="X58" i="70" s="1"/>
  <c r="J58" i="70"/>
  <c r="H58" i="70"/>
  <c r="D58" i="70"/>
  <c r="L58" i="70" s="1"/>
  <c r="N58" i="70" s="1"/>
  <c r="B58" i="70"/>
  <c r="Z57" i="70"/>
  <c r="X57" i="70"/>
  <c r="V57" i="70"/>
  <c r="L57" i="70"/>
  <c r="N57" i="70" s="1"/>
  <c r="J57" i="70"/>
  <c r="B57" i="70"/>
  <c r="T56" i="70"/>
  <c r="P56" i="70"/>
  <c r="X56" i="70" s="1"/>
  <c r="H56" i="70"/>
  <c r="D56" i="70"/>
  <c r="L56" i="70" s="1"/>
  <c r="B56" i="70"/>
  <c r="Z55" i="70"/>
  <c r="X55" i="70"/>
  <c r="V55" i="70"/>
  <c r="N55" i="70"/>
  <c r="L55" i="70"/>
  <c r="J55" i="70"/>
  <c r="B55" i="70"/>
  <c r="T54" i="70"/>
  <c r="V54" i="70" s="1"/>
  <c r="P54" i="70"/>
  <c r="X54" i="70" s="1"/>
  <c r="H54" i="70"/>
  <c r="D54" i="70"/>
  <c r="L54" i="70" s="1"/>
  <c r="B54" i="70"/>
  <c r="Z53" i="70"/>
  <c r="X53" i="70"/>
  <c r="V53" i="70"/>
  <c r="N53" i="70"/>
  <c r="L53" i="70"/>
  <c r="B53" i="70"/>
  <c r="X52" i="70"/>
  <c r="Z52" i="70" s="1"/>
  <c r="T52" i="70"/>
  <c r="V52" i="70" s="1"/>
  <c r="P52" i="70"/>
  <c r="L52" i="70"/>
  <c r="H52" i="70"/>
  <c r="D52" i="70"/>
  <c r="B52" i="70"/>
  <c r="Z51" i="70"/>
  <c r="X51" i="70"/>
  <c r="V51" i="70"/>
  <c r="N51" i="70"/>
  <c r="L51" i="70"/>
  <c r="B51" i="70"/>
  <c r="Z50" i="70"/>
  <c r="X50" i="70"/>
  <c r="V50" i="70"/>
  <c r="N50" i="70"/>
  <c r="L50" i="70"/>
  <c r="B50" i="70"/>
  <c r="Z49" i="70"/>
  <c r="X49" i="70"/>
  <c r="V49" i="70"/>
  <c r="N49" i="70"/>
  <c r="L49" i="70"/>
  <c r="J49" i="70"/>
  <c r="B49" i="70"/>
  <c r="Z48" i="70"/>
  <c r="X48" i="70"/>
  <c r="N48" i="70"/>
  <c r="L48" i="70"/>
  <c r="B48" i="70"/>
  <c r="Z47" i="70"/>
  <c r="X47" i="70"/>
  <c r="V47" i="70"/>
  <c r="N47" i="70"/>
  <c r="L47" i="70"/>
  <c r="B47" i="70"/>
  <c r="Z46" i="70"/>
  <c r="X46" i="70"/>
  <c r="V46" i="70"/>
  <c r="N46" i="70"/>
  <c r="L46" i="70"/>
  <c r="B46" i="70"/>
  <c r="Z45" i="70"/>
  <c r="X45" i="70"/>
  <c r="V45" i="70"/>
  <c r="N45" i="70"/>
  <c r="L45" i="70"/>
  <c r="J45" i="70"/>
  <c r="B45" i="70"/>
  <c r="Z44" i="70"/>
  <c r="X44" i="70"/>
  <c r="N44" i="70"/>
  <c r="L44" i="70"/>
  <c r="B44" i="70"/>
  <c r="Z43" i="70"/>
  <c r="X43" i="70"/>
  <c r="V43" i="70"/>
  <c r="N43" i="70"/>
  <c r="L43" i="70"/>
  <c r="B43" i="70"/>
  <c r="Z42" i="70"/>
  <c r="X42" i="70"/>
  <c r="V42" i="70"/>
  <c r="N42" i="70"/>
  <c r="L42" i="70"/>
  <c r="B42" i="70"/>
  <c r="Z41" i="70"/>
  <c r="V41" i="70"/>
  <c r="T41" i="70"/>
  <c r="P41" i="70"/>
  <c r="X41" i="70" s="1"/>
  <c r="N41" i="70"/>
  <c r="L41" i="70"/>
  <c r="H41" i="70"/>
  <c r="D41" i="70"/>
  <c r="B41" i="70"/>
  <c r="Z40" i="70"/>
  <c r="X40" i="70"/>
  <c r="V40" i="70"/>
  <c r="N40" i="70"/>
  <c r="L40" i="70"/>
  <c r="B40" i="70"/>
  <c r="Z39" i="70"/>
  <c r="X39" i="70"/>
  <c r="V39" i="70"/>
  <c r="N39" i="70"/>
  <c r="L39" i="70"/>
  <c r="B39" i="70"/>
  <c r="Z38" i="70"/>
  <c r="X38" i="70"/>
  <c r="V38" i="70"/>
  <c r="L38" i="70"/>
  <c r="N38" i="70" s="1"/>
  <c r="B38" i="70"/>
  <c r="Z37" i="70"/>
  <c r="X37" i="70"/>
  <c r="V37" i="70"/>
  <c r="N37" i="70"/>
  <c r="L37" i="70"/>
  <c r="B37" i="70"/>
  <c r="X36" i="70"/>
  <c r="Z36" i="70" s="1"/>
  <c r="V36" i="70"/>
  <c r="N36" i="70"/>
  <c r="L36" i="70"/>
  <c r="J36" i="70"/>
  <c r="B36" i="70"/>
  <c r="Z35" i="70"/>
  <c r="X35" i="70"/>
  <c r="V35" i="70"/>
  <c r="N35" i="70"/>
  <c r="L35" i="70"/>
  <c r="J35" i="70"/>
  <c r="B35" i="70"/>
  <c r="X34" i="70"/>
  <c r="Z34" i="70" s="1"/>
  <c r="V34" i="70"/>
  <c r="L34" i="70"/>
  <c r="N34" i="70" s="1"/>
  <c r="B34" i="70"/>
  <c r="Z33" i="70"/>
  <c r="X33" i="70"/>
  <c r="V33" i="70"/>
  <c r="N33" i="70"/>
  <c r="L33" i="70"/>
  <c r="J33" i="70"/>
  <c r="B33" i="70"/>
  <c r="X32" i="70"/>
  <c r="Z32" i="70" s="1"/>
  <c r="V32" i="70"/>
  <c r="L32" i="70"/>
  <c r="N32" i="70" s="1"/>
  <c r="B32" i="70"/>
  <c r="Z31" i="70"/>
  <c r="V31" i="70"/>
  <c r="T31" i="70"/>
  <c r="P31" i="70"/>
  <c r="X31" i="70" s="1"/>
  <c r="L31" i="70"/>
  <c r="N31" i="70" s="1"/>
  <c r="H31" i="70"/>
  <c r="D31" i="70"/>
  <c r="B31" i="70"/>
  <c r="T30" i="70"/>
  <c r="P30" i="70"/>
  <c r="L30" i="70"/>
  <c r="H30" i="70"/>
  <c r="D30" i="70"/>
  <c r="J28" i="70"/>
  <c r="H28" i="70"/>
  <c r="X26" i="70"/>
  <c r="T26" i="70"/>
  <c r="Z26" i="70" s="1"/>
  <c r="P26" i="70"/>
  <c r="H26" i="70"/>
  <c r="N26" i="70" s="1"/>
  <c r="D26" i="70"/>
  <c r="L26" i="70" s="1"/>
  <c r="Z24" i="70"/>
  <c r="X24" i="70"/>
  <c r="P24" i="70"/>
  <c r="N24" i="70"/>
  <c r="D24" i="70"/>
  <c r="L24" i="70" s="1"/>
  <c r="B24" i="70"/>
  <c r="Z23" i="70"/>
  <c r="X23" i="70"/>
  <c r="P23" i="70"/>
  <c r="N23" i="70"/>
  <c r="L23" i="70"/>
  <c r="D23" i="70"/>
  <c r="B23" i="70"/>
  <c r="Z22" i="70"/>
  <c r="X22" i="70"/>
  <c r="P22" i="70"/>
  <c r="N22" i="70"/>
  <c r="L22" i="70"/>
  <c r="D22" i="70"/>
  <c r="B22" i="70"/>
  <c r="Z21" i="70"/>
  <c r="X21" i="70"/>
  <c r="P21" i="70"/>
  <c r="N21" i="70"/>
  <c r="L21" i="70"/>
  <c r="D21" i="70"/>
  <c r="B21" i="70"/>
  <c r="Z20" i="70"/>
  <c r="P20" i="70"/>
  <c r="X20" i="70" s="1"/>
  <c r="N20" i="70"/>
  <c r="L20" i="70"/>
  <c r="D20" i="70"/>
  <c r="B20" i="70"/>
  <c r="Z19" i="70"/>
  <c r="P19" i="70"/>
  <c r="X19" i="70" s="1"/>
  <c r="N19" i="70"/>
  <c r="L19" i="70"/>
  <c r="D19" i="70"/>
  <c r="B19" i="70"/>
  <c r="X18" i="70"/>
  <c r="Z18" i="70" s="1"/>
  <c r="P18" i="70"/>
  <c r="D18" i="70"/>
  <c r="L18" i="70" s="1"/>
  <c r="N18" i="70" s="1"/>
  <c r="B18" i="70"/>
  <c r="Z17" i="70"/>
  <c r="P17" i="70"/>
  <c r="X17" i="70" s="1"/>
  <c r="N17" i="70"/>
  <c r="D17" i="70"/>
  <c r="B17" i="70"/>
  <c r="Z16" i="70"/>
  <c r="P16" i="70"/>
  <c r="X16" i="70" s="1"/>
  <c r="N16" i="70"/>
  <c r="D16" i="70"/>
  <c r="L16" i="70" s="1"/>
  <c r="B16" i="70"/>
  <c r="Z15" i="70"/>
  <c r="P15" i="70"/>
  <c r="X15" i="70" s="1"/>
  <c r="N15" i="70"/>
  <c r="D15" i="70"/>
  <c r="L15" i="70" s="1"/>
  <c r="B15" i="70"/>
  <c r="Z14" i="70"/>
  <c r="X14" i="70"/>
  <c r="P14" i="70"/>
  <c r="N14" i="70"/>
  <c r="D14" i="70"/>
  <c r="L14" i="70" s="1"/>
  <c r="B14" i="70"/>
  <c r="X13" i="70"/>
  <c r="Z13" i="70" s="1"/>
  <c r="P13" i="70"/>
  <c r="L13" i="70"/>
  <c r="N13" i="70" s="1"/>
  <c r="D13" i="70"/>
  <c r="B13" i="70"/>
  <c r="T12" i="70"/>
  <c r="V66" i="70" s="1"/>
  <c r="H12" i="70"/>
  <c r="J73" i="70" s="1"/>
  <c r="D6" i="70"/>
  <c r="D4" i="70"/>
  <c r="X153" i="69"/>
  <c r="Z153" i="69" s="1"/>
  <c r="L153" i="69"/>
  <c r="N153" i="69" s="1"/>
  <c r="Z149" i="69"/>
  <c r="X149" i="69"/>
  <c r="V149" i="69"/>
  <c r="P149" i="69"/>
  <c r="N149" i="69"/>
  <c r="D149" i="69"/>
  <c r="L149" i="69" s="1"/>
  <c r="B149" i="69"/>
  <c r="V148" i="69"/>
  <c r="P148" i="69"/>
  <c r="N148" i="69"/>
  <c r="L148" i="69"/>
  <c r="D148" i="69"/>
  <c r="B148" i="69"/>
  <c r="X147" i="69"/>
  <c r="Z147" i="69" s="1"/>
  <c r="P147" i="69"/>
  <c r="D147" i="69"/>
  <c r="B147" i="69"/>
  <c r="V146" i="69"/>
  <c r="T146" i="69"/>
  <c r="H146" i="69"/>
  <c r="Z144" i="69"/>
  <c r="X144" i="69"/>
  <c r="N144" i="69"/>
  <c r="L144" i="69"/>
  <c r="B144" i="69"/>
  <c r="X143" i="69"/>
  <c r="Z143" i="69" s="1"/>
  <c r="L143" i="69"/>
  <c r="N143" i="69" s="1"/>
  <c r="B143" i="69"/>
  <c r="Z142" i="69"/>
  <c r="X142" i="69"/>
  <c r="V142" i="69"/>
  <c r="T142" i="69"/>
  <c r="P142" i="69"/>
  <c r="H142" i="69"/>
  <c r="D142" i="69"/>
  <c r="B142" i="69"/>
  <c r="Z141" i="69"/>
  <c r="X141" i="69"/>
  <c r="N141" i="69"/>
  <c r="L141" i="69"/>
  <c r="B141" i="69"/>
  <c r="V140" i="69"/>
  <c r="T140" i="69"/>
  <c r="P140" i="69"/>
  <c r="N140" i="69"/>
  <c r="H140" i="69"/>
  <c r="D140" i="69"/>
  <c r="L140" i="69" s="1"/>
  <c r="B140" i="69"/>
  <c r="X139" i="69"/>
  <c r="Z139" i="69" s="1"/>
  <c r="V139" i="69"/>
  <c r="L139" i="69"/>
  <c r="N139" i="69" s="1"/>
  <c r="B139" i="69"/>
  <c r="Z138" i="69"/>
  <c r="T138" i="69"/>
  <c r="P138" i="69"/>
  <c r="X138" i="69" s="1"/>
  <c r="H138" i="69"/>
  <c r="D138" i="69"/>
  <c r="L138" i="69" s="1"/>
  <c r="N138" i="69" s="1"/>
  <c r="B138" i="69"/>
  <c r="Z137" i="69"/>
  <c r="X137" i="69"/>
  <c r="N137" i="69"/>
  <c r="L137" i="69"/>
  <c r="B137" i="69"/>
  <c r="Z136" i="69"/>
  <c r="X136" i="69"/>
  <c r="V136" i="69"/>
  <c r="N136" i="69"/>
  <c r="L136" i="69"/>
  <c r="B136" i="69"/>
  <c r="X135" i="69"/>
  <c r="Z135" i="69" s="1"/>
  <c r="L135" i="69"/>
  <c r="N135" i="69" s="1"/>
  <c r="B135" i="69"/>
  <c r="X134" i="69"/>
  <c r="Z134" i="69" s="1"/>
  <c r="N134" i="69"/>
  <c r="L134" i="69"/>
  <c r="B134" i="69"/>
  <c r="X133" i="69"/>
  <c r="Z133" i="69" s="1"/>
  <c r="V133" i="69"/>
  <c r="N133" i="69"/>
  <c r="L133" i="69"/>
  <c r="B133" i="69"/>
  <c r="Z132" i="69"/>
  <c r="X132" i="69"/>
  <c r="V132" i="69"/>
  <c r="N132" i="69"/>
  <c r="L132" i="69"/>
  <c r="B132" i="69"/>
  <c r="X131" i="69"/>
  <c r="Z131" i="69" s="1"/>
  <c r="L131" i="69"/>
  <c r="N131" i="69" s="1"/>
  <c r="B131" i="69"/>
  <c r="X130" i="69"/>
  <c r="Z130" i="69" s="1"/>
  <c r="V130" i="69"/>
  <c r="T130" i="69"/>
  <c r="P130" i="69"/>
  <c r="H130" i="69"/>
  <c r="D130" i="69"/>
  <c r="B130" i="69"/>
  <c r="Z129" i="69"/>
  <c r="X129" i="69"/>
  <c r="N129" i="69"/>
  <c r="L129" i="69"/>
  <c r="B129" i="69"/>
  <c r="Z128" i="69"/>
  <c r="X128" i="69"/>
  <c r="N128" i="69"/>
  <c r="L128" i="69"/>
  <c r="J128" i="69"/>
  <c r="B128" i="69"/>
  <c r="Z127" i="69"/>
  <c r="V127" i="69"/>
  <c r="T127" i="69"/>
  <c r="X127" i="69" s="1"/>
  <c r="P127" i="69"/>
  <c r="H127" i="69"/>
  <c r="N127" i="69" s="1"/>
  <c r="D127" i="69"/>
  <c r="L127" i="69" s="1"/>
  <c r="B127" i="69"/>
  <c r="X126" i="69"/>
  <c r="Z126" i="69" s="1"/>
  <c r="L126" i="69"/>
  <c r="N126" i="69" s="1"/>
  <c r="B126" i="69"/>
  <c r="X125" i="69"/>
  <c r="Z125" i="69" s="1"/>
  <c r="V125" i="69"/>
  <c r="L125" i="69"/>
  <c r="N125" i="69" s="1"/>
  <c r="B125" i="69"/>
  <c r="Z124" i="69"/>
  <c r="X124" i="69"/>
  <c r="N124" i="69"/>
  <c r="L124" i="69"/>
  <c r="B124" i="69"/>
  <c r="X123" i="69"/>
  <c r="Z123" i="69" s="1"/>
  <c r="T123" i="69"/>
  <c r="P123" i="69"/>
  <c r="H123" i="69"/>
  <c r="D123" i="69"/>
  <c r="L123" i="69" s="1"/>
  <c r="B123" i="69"/>
  <c r="X122" i="69"/>
  <c r="Z122" i="69" s="1"/>
  <c r="V122" i="69"/>
  <c r="N122" i="69"/>
  <c r="L122" i="69"/>
  <c r="B122" i="69"/>
  <c r="V121" i="69"/>
  <c r="T121" i="69"/>
  <c r="P121" i="69"/>
  <c r="X121" i="69" s="1"/>
  <c r="Z121" i="69" s="1"/>
  <c r="L121" i="69"/>
  <c r="H121" i="69"/>
  <c r="D121" i="69"/>
  <c r="B121" i="69"/>
  <c r="X120" i="69"/>
  <c r="Z120" i="69" s="1"/>
  <c r="N120" i="69"/>
  <c r="L120" i="69"/>
  <c r="B120" i="69"/>
  <c r="X119" i="69"/>
  <c r="T119" i="69"/>
  <c r="P119" i="69"/>
  <c r="L119" i="69"/>
  <c r="H119" i="69"/>
  <c r="N119" i="69" s="1"/>
  <c r="D119" i="69"/>
  <c r="B119" i="69"/>
  <c r="Z118" i="69"/>
  <c r="X118" i="69"/>
  <c r="V118" i="69"/>
  <c r="N118" i="69"/>
  <c r="L118" i="69"/>
  <c r="B118" i="69"/>
  <c r="X117" i="69"/>
  <c r="Z117" i="69" s="1"/>
  <c r="N117" i="69"/>
  <c r="L117" i="69"/>
  <c r="B117" i="69"/>
  <c r="Z116" i="69"/>
  <c r="T116" i="69"/>
  <c r="P116" i="69"/>
  <c r="X116" i="69" s="1"/>
  <c r="H116" i="69"/>
  <c r="D116" i="69"/>
  <c r="L116" i="69" s="1"/>
  <c r="B116" i="69"/>
  <c r="X115" i="69"/>
  <c r="Z115" i="69" s="1"/>
  <c r="N115" i="69"/>
  <c r="L115" i="69"/>
  <c r="B115" i="69"/>
  <c r="X114" i="69"/>
  <c r="Z114" i="69" s="1"/>
  <c r="T114" i="69"/>
  <c r="P114" i="69"/>
  <c r="H114" i="69"/>
  <c r="N114" i="69" s="1"/>
  <c r="D114" i="69"/>
  <c r="B114" i="69"/>
  <c r="Z113" i="69"/>
  <c r="X113" i="69"/>
  <c r="L113" i="69"/>
  <c r="N113" i="69" s="1"/>
  <c r="J113" i="69"/>
  <c r="B113" i="69"/>
  <c r="Z112" i="69"/>
  <c r="X112" i="69"/>
  <c r="N112" i="69"/>
  <c r="L112" i="69"/>
  <c r="B112" i="69"/>
  <c r="T111" i="69"/>
  <c r="P111" i="69"/>
  <c r="X111" i="69" s="1"/>
  <c r="Z111" i="69" s="1"/>
  <c r="H111" i="69"/>
  <c r="D111" i="69"/>
  <c r="B111" i="69"/>
  <c r="Z110" i="69"/>
  <c r="X110" i="69"/>
  <c r="V110" i="69"/>
  <c r="N110" i="69"/>
  <c r="L110" i="69"/>
  <c r="J110" i="69"/>
  <c r="B110" i="69"/>
  <c r="T109" i="69"/>
  <c r="P109" i="69"/>
  <c r="L109" i="69"/>
  <c r="N109" i="69" s="1"/>
  <c r="H109" i="69"/>
  <c r="D109" i="69"/>
  <c r="B109" i="69"/>
  <c r="X108" i="69"/>
  <c r="Z108" i="69" s="1"/>
  <c r="V108" i="69"/>
  <c r="L108" i="69"/>
  <c r="N108" i="69" s="1"/>
  <c r="B108" i="69"/>
  <c r="X107" i="69"/>
  <c r="T107" i="69"/>
  <c r="P107" i="69"/>
  <c r="L107" i="69"/>
  <c r="N107" i="69" s="1"/>
  <c r="H107" i="69"/>
  <c r="D107" i="69"/>
  <c r="B107" i="69"/>
  <c r="Z106" i="69"/>
  <c r="X106" i="69"/>
  <c r="N106" i="69"/>
  <c r="L106" i="69"/>
  <c r="B106" i="69"/>
  <c r="Z105" i="69"/>
  <c r="T105" i="69"/>
  <c r="X105" i="69" s="1"/>
  <c r="P105" i="69"/>
  <c r="N105" i="69"/>
  <c r="H105" i="69"/>
  <c r="D105" i="69"/>
  <c r="L105" i="69" s="1"/>
  <c r="B105" i="69"/>
  <c r="Z104" i="69"/>
  <c r="X104" i="69"/>
  <c r="N104" i="69"/>
  <c r="L104" i="69"/>
  <c r="B104" i="69"/>
  <c r="V103" i="69"/>
  <c r="T103" i="69"/>
  <c r="Z103" i="69" s="1"/>
  <c r="P103" i="69"/>
  <c r="X103" i="69" s="1"/>
  <c r="L103" i="69"/>
  <c r="H103" i="69"/>
  <c r="N103" i="69" s="1"/>
  <c r="D103" i="69"/>
  <c r="B103" i="69"/>
  <c r="X102" i="69"/>
  <c r="Z102" i="69" s="1"/>
  <c r="V102" i="69"/>
  <c r="L102" i="69"/>
  <c r="N102" i="69" s="1"/>
  <c r="B102" i="69"/>
  <c r="V101" i="69"/>
  <c r="T101" i="69"/>
  <c r="P101" i="69"/>
  <c r="X101" i="69" s="1"/>
  <c r="Z101" i="69" s="1"/>
  <c r="N101" i="69"/>
  <c r="H101" i="69"/>
  <c r="L101" i="69" s="1"/>
  <c r="D101" i="69"/>
  <c r="B101" i="69"/>
  <c r="Z100" i="69"/>
  <c r="X100" i="69"/>
  <c r="N100" i="69"/>
  <c r="L100" i="69"/>
  <c r="B100" i="69"/>
  <c r="Z99" i="69"/>
  <c r="X99" i="69"/>
  <c r="N99" i="69"/>
  <c r="L99" i="69"/>
  <c r="B99" i="69"/>
  <c r="X98" i="69"/>
  <c r="Z98" i="69" s="1"/>
  <c r="L98" i="69"/>
  <c r="N98" i="69" s="1"/>
  <c r="B98" i="69"/>
  <c r="Z97" i="69"/>
  <c r="X97" i="69"/>
  <c r="V97" i="69"/>
  <c r="N97" i="69"/>
  <c r="L97" i="69"/>
  <c r="B97" i="69"/>
  <c r="Z96" i="69"/>
  <c r="X96" i="69"/>
  <c r="N96" i="69"/>
  <c r="L96" i="69"/>
  <c r="B96" i="69"/>
  <c r="Z95" i="69"/>
  <c r="X95" i="69"/>
  <c r="N95" i="69"/>
  <c r="L95" i="69"/>
  <c r="B95" i="69"/>
  <c r="X94" i="69"/>
  <c r="Z94" i="69" s="1"/>
  <c r="V94" i="69"/>
  <c r="L94" i="69"/>
  <c r="N94" i="69" s="1"/>
  <c r="B94" i="69"/>
  <c r="Z93" i="69"/>
  <c r="X93" i="69"/>
  <c r="V93" i="69"/>
  <c r="N93" i="69"/>
  <c r="L93" i="69"/>
  <c r="B93" i="69"/>
  <c r="X92" i="69"/>
  <c r="Z92" i="69" s="1"/>
  <c r="N92" i="69"/>
  <c r="L92" i="69"/>
  <c r="B92" i="69"/>
  <c r="Z91" i="69"/>
  <c r="X91" i="69"/>
  <c r="N91" i="69"/>
  <c r="L91" i="69"/>
  <c r="B91" i="69"/>
  <c r="T90" i="69"/>
  <c r="P90" i="69"/>
  <c r="L90" i="69"/>
  <c r="H90" i="69"/>
  <c r="D90" i="69"/>
  <c r="B90" i="69"/>
  <c r="Z89" i="69"/>
  <c r="X89" i="69"/>
  <c r="V89" i="69"/>
  <c r="N89" i="69"/>
  <c r="L89" i="69"/>
  <c r="B89" i="69"/>
  <c r="Z88" i="69"/>
  <c r="X88" i="69"/>
  <c r="L88" i="69"/>
  <c r="N88" i="69" s="1"/>
  <c r="B88" i="69"/>
  <c r="Z87" i="69"/>
  <c r="X87" i="69"/>
  <c r="V87" i="69"/>
  <c r="N87" i="69"/>
  <c r="L87" i="69"/>
  <c r="B87" i="69"/>
  <c r="Z86" i="69"/>
  <c r="X86" i="69"/>
  <c r="N86" i="69"/>
  <c r="L86" i="69"/>
  <c r="B86" i="69"/>
  <c r="Z85" i="69"/>
  <c r="X85" i="69"/>
  <c r="V85" i="69"/>
  <c r="N85" i="69"/>
  <c r="L85" i="69"/>
  <c r="B85" i="69"/>
  <c r="X84" i="69"/>
  <c r="Z84" i="69" s="1"/>
  <c r="N84" i="69"/>
  <c r="L84" i="69"/>
  <c r="B84" i="69"/>
  <c r="Z83" i="69"/>
  <c r="X83" i="69"/>
  <c r="V83" i="69"/>
  <c r="N83" i="69"/>
  <c r="L83" i="69"/>
  <c r="B83" i="69"/>
  <c r="X82" i="69"/>
  <c r="Z82" i="69" s="1"/>
  <c r="L82" i="69"/>
  <c r="N82" i="69" s="1"/>
  <c r="B82" i="69"/>
  <c r="Z81" i="69"/>
  <c r="X81" i="69"/>
  <c r="V81" i="69"/>
  <c r="N81" i="69"/>
  <c r="L81" i="69"/>
  <c r="B81" i="69"/>
  <c r="T80" i="69"/>
  <c r="P80" i="69"/>
  <c r="X80" i="69" s="1"/>
  <c r="H80" i="69"/>
  <c r="D80" i="69"/>
  <c r="B80" i="69"/>
  <c r="V79" i="69"/>
  <c r="T79" i="69"/>
  <c r="P79" i="69"/>
  <c r="H79" i="69"/>
  <c r="D79" i="69"/>
  <c r="L79" i="69" s="1"/>
  <c r="N79" i="69" s="1"/>
  <c r="T77" i="69"/>
  <c r="Z75" i="69"/>
  <c r="X75" i="69"/>
  <c r="V75" i="69"/>
  <c r="N75" i="69"/>
  <c r="L75" i="69"/>
  <c r="B75" i="69"/>
  <c r="Z74" i="69"/>
  <c r="X74" i="69"/>
  <c r="V74" i="69"/>
  <c r="N74" i="69"/>
  <c r="L74" i="69"/>
  <c r="B74" i="69"/>
  <c r="Z73" i="69"/>
  <c r="X73" i="69"/>
  <c r="V73" i="69"/>
  <c r="N73" i="69"/>
  <c r="L73" i="69"/>
  <c r="B73" i="69"/>
  <c r="Z72" i="69"/>
  <c r="X72" i="69"/>
  <c r="N72" i="69"/>
  <c r="L72" i="69"/>
  <c r="B72" i="69"/>
  <c r="Z71" i="69"/>
  <c r="X71" i="69"/>
  <c r="V71" i="69"/>
  <c r="N71" i="69"/>
  <c r="L71" i="69"/>
  <c r="B71" i="69"/>
  <c r="Z70" i="69"/>
  <c r="X70" i="69"/>
  <c r="V70" i="69"/>
  <c r="N70" i="69"/>
  <c r="L70" i="69"/>
  <c r="B70" i="69"/>
  <c r="Z69" i="69"/>
  <c r="X69" i="69"/>
  <c r="V69" i="69"/>
  <c r="N69" i="69"/>
  <c r="L69" i="69"/>
  <c r="B69" i="69"/>
  <c r="Z68" i="69"/>
  <c r="X68" i="69"/>
  <c r="N68" i="69"/>
  <c r="L68" i="69"/>
  <c r="B68" i="69"/>
  <c r="Z67" i="69"/>
  <c r="X67" i="69"/>
  <c r="V67" i="69"/>
  <c r="N67" i="69"/>
  <c r="L67" i="69"/>
  <c r="J67" i="69"/>
  <c r="B67" i="69"/>
  <c r="Z66" i="69"/>
  <c r="X66" i="69"/>
  <c r="V66" i="69"/>
  <c r="N66" i="69"/>
  <c r="L66" i="69"/>
  <c r="B66" i="69"/>
  <c r="Z65" i="69"/>
  <c r="X65" i="69"/>
  <c r="V65" i="69"/>
  <c r="N65" i="69"/>
  <c r="L65" i="69"/>
  <c r="B65" i="69"/>
  <c r="Z64" i="69"/>
  <c r="X64" i="69"/>
  <c r="N64" i="69"/>
  <c r="L64" i="69"/>
  <c r="B64" i="69"/>
  <c r="Z63" i="69"/>
  <c r="X63" i="69"/>
  <c r="V63" i="69"/>
  <c r="N63" i="69"/>
  <c r="L63" i="69"/>
  <c r="B63" i="69"/>
  <c r="Z62" i="69"/>
  <c r="X62" i="69"/>
  <c r="V62" i="69"/>
  <c r="N62" i="69"/>
  <c r="L62" i="69"/>
  <c r="B62" i="69"/>
  <c r="Z61" i="69"/>
  <c r="X61" i="69"/>
  <c r="V61" i="69"/>
  <c r="N61" i="69"/>
  <c r="L61" i="69"/>
  <c r="J61" i="69"/>
  <c r="B61" i="69"/>
  <c r="Z60" i="69"/>
  <c r="X60" i="69"/>
  <c r="N60" i="69"/>
  <c r="L60" i="69"/>
  <c r="B60" i="69"/>
  <c r="Z59" i="69"/>
  <c r="X59" i="69"/>
  <c r="V59" i="69"/>
  <c r="N59" i="69"/>
  <c r="L59" i="69"/>
  <c r="B59" i="69"/>
  <c r="Z58" i="69"/>
  <c r="X58" i="69"/>
  <c r="V58" i="69"/>
  <c r="N58" i="69"/>
  <c r="L58" i="69"/>
  <c r="J58" i="69"/>
  <c r="B58" i="69"/>
  <c r="Z57" i="69"/>
  <c r="X57" i="69"/>
  <c r="V57" i="69"/>
  <c r="N57" i="69"/>
  <c r="L57" i="69"/>
  <c r="B57" i="69"/>
  <c r="Z56" i="69"/>
  <c r="X56" i="69"/>
  <c r="V56" i="69"/>
  <c r="N56" i="69"/>
  <c r="L56" i="69"/>
  <c r="B56" i="69"/>
  <c r="Z55" i="69"/>
  <c r="X55" i="69"/>
  <c r="V55" i="69"/>
  <c r="N55" i="69"/>
  <c r="L55" i="69"/>
  <c r="B55" i="69"/>
  <c r="Z54" i="69"/>
  <c r="X54" i="69"/>
  <c r="V54" i="69"/>
  <c r="N54" i="69"/>
  <c r="L54" i="69"/>
  <c r="J54" i="69"/>
  <c r="B54" i="69"/>
  <c r="Z53" i="69"/>
  <c r="X53" i="69"/>
  <c r="V53" i="69"/>
  <c r="L53" i="69"/>
  <c r="N53" i="69" s="1"/>
  <c r="B53" i="69"/>
  <c r="X52" i="69"/>
  <c r="Z52" i="69" s="1"/>
  <c r="T52" i="69"/>
  <c r="V52" i="69" s="1"/>
  <c r="P52" i="69"/>
  <c r="L52" i="69"/>
  <c r="N52" i="69" s="1"/>
  <c r="H52" i="69"/>
  <c r="D52" i="69"/>
  <c r="Z50" i="69"/>
  <c r="X50" i="69"/>
  <c r="P50" i="69"/>
  <c r="N50" i="69"/>
  <c r="D50" i="69"/>
  <c r="L50" i="69" s="1"/>
  <c r="B50" i="69"/>
  <c r="Z49" i="69"/>
  <c r="P49" i="69"/>
  <c r="X49" i="69" s="1"/>
  <c r="N49" i="69"/>
  <c r="L49" i="69"/>
  <c r="D49" i="69"/>
  <c r="B49" i="69"/>
  <c r="Z48" i="69"/>
  <c r="X48" i="69"/>
  <c r="P48" i="69"/>
  <c r="N48" i="69"/>
  <c r="D48" i="69"/>
  <c r="L48" i="69" s="1"/>
  <c r="B48" i="69"/>
  <c r="Z47" i="69"/>
  <c r="P47" i="69"/>
  <c r="X47" i="69" s="1"/>
  <c r="N47" i="69"/>
  <c r="L47" i="69"/>
  <c r="D47" i="69"/>
  <c r="B47" i="69"/>
  <c r="Z46" i="69"/>
  <c r="P46" i="69"/>
  <c r="X46" i="69" s="1"/>
  <c r="N46" i="69"/>
  <c r="L46" i="69"/>
  <c r="D46" i="69"/>
  <c r="B46" i="69"/>
  <c r="Z45" i="69"/>
  <c r="X45" i="69"/>
  <c r="P45" i="69"/>
  <c r="N45" i="69"/>
  <c r="L45" i="69"/>
  <c r="D45" i="69"/>
  <c r="B45" i="69"/>
  <c r="Z44" i="69"/>
  <c r="P44" i="69"/>
  <c r="X44" i="69" s="1"/>
  <c r="N44" i="69"/>
  <c r="D44" i="69"/>
  <c r="L44" i="69" s="1"/>
  <c r="B44" i="69"/>
  <c r="Z43" i="69"/>
  <c r="P43" i="69"/>
  <c r="X43" i="69" s="1"/>
  <c r="N43" i="69"/>
  <c r="D43" i="69"/>
  <c r="L43" i="69" s="1"/>
  <c r="B43" i="69"/>
  <c r="Z42" i="69"/>
  <c r="X42" i="69"/>
  <c r="P42" i="69"/>
  <c r="N42" i="69"/>
  <c r="L42" i="69"/>
  <c r="D42" i="69"/>
  <c r="B42" i="69"/>
  <c r="Z41" i="69"/>
  <c r="P41" i="69"/>
  <c r="X41" i="69" s="1"/>
  <c r="N41" i="69"/>
  <c r="D41" i="69"/>
  <c r="L41" i="69" s="1"/>
  <c r="B41" i="69"/>
  <c r="Z40" i="69"/>
  <c r="P40" i="69"/>
  <c r="X40" i="69" s="1"/>
  <c r="N40" i="69"/>
  <c r="L40" i="69"/>
  <c r="D40" i="69"/>
  <c r="B40" i="69"/>
  <c r="Z39" i="69"/>
  <c r="P39" i="69"/>
  <c r="X39" i="69" s="1"/>
  <c r="N39" i="69"/>
  <c r="L39" i="69"/>
  <c r="D39" i="69"/>
  <c r="B39" i="69"/>
  <c r="Z38" i="69"/>
  <c r="X38" i="69"/>
  <c r="P38" i="69"/>
  <c r="N38" i="69"/>
  <c r="D38" i="69"/>
  <c r="L38" i="69" s="1"/>
  <c r="B38" i="69"/>
  <c r="Z37" i="69"/>
  <c r="X37" i="69"/>
  <c r="P37" i="69"/>
  <c r="N37" i="69"/>
  <c r="L37" i="69"/>
  <c r="D37" i="69"/>
  <c r="B37" i="69"/>
  <c r="Z36" i="69"/>
  <c r="X36" i="69"/>
  <c r="P36" i="69"/>
  <c r="N36" i="69"/>
  <c r="L36" i="69"/>
  <c r="D36" i="69"/>
  <c r="B36" i="69"/>
  <c r="Z35" i="69"/>
  <c r="P35" i="69"/>
  <c r="X35" i="69" s="1"/>
  <c r="N35" i="69"/>
  <c r="D35" i="69"/>
  <c r="L35" i="69" s="1"/>
  <c r="B35" i="69"/>
  <c r="Z34" i="69"/>
  <c r="P34" i="69"/>
  <c r="X34" i="69" s="1"/>
  <c r="N34" i="69"/>
  <c r="D34" i="69"/>
  <c r="L34" i="69" s="1"/>
  <c r="B34" i="69"/>
  <c r="Z33" i="69"/>
  <c r="X33" i="69"/>
  <c r="P33" i="69"/>
  <c r="N33" i="69"/>
  <c r="L33" i="69"/>
  <c r="D33" i="69"/>
  <c r="B33" i="69"/>
  <c r="Z32" i="69"/>
  <c r="X32" i="69"/>
  <c r="P32" i="69"/>
  <c r="N32" i="69"/>
  <c r="D32" i="69"/>
  <c r="L32" i="69" s="1"/>
  <c r="B32" i="69"/>
  <c r="Z31" i="69"/>
  <c r="P31" i="69"/>
  <c r="X31" i="69" s="1"/>
  <c r="N31" i="69"/>
  <c r="L31" i="69"/>
  <c r="D31" i="69"/>
  <c r="B31" i="69"/>
  <c r="Z30" i="69"/>
  <c r="X30" i="69"/>
  <c r="P30" i="69"/>
  <c r="N30" i="69"/>
  <c r="D30" i="69"/>
  <c r="L30" i="69" s="1"/>
  <c r="B30" i="69"/>
  <c r="Z29" i="69"/>
  <c r="P29" i="69"/>
  <c r="X29" i="69" s="1"/>
  <c r="N29" i="69"/>
  <c r="D29" i="69"/>
  <c r="L29" i="69" s="1"/>
  <c r="B29" i="69"/>
  <c r="Z28" i="69"/>
  <c r="X28" i="69"/>
  <c r="P28" i="69"/>
  <c r="N28" i="69"/>
  <c r="L28" i="69"/>
  <c r="D28" i="69"/>
  <c r="B28" i="69"/>
  <c r="Z27" i="69"/>
  <c r="X27" i="69"/>
  <c r="P27" i="69"/>
  <c r="N27" i="69"/>
  <c r="L27" i="69"/>
  <c r="D27" i="69"/>
  <c r="B27" i="69"/>
  <c r="Z26" i="69"/>
  <c r="P26" i="69"/>
  <c r="X26" i="69" s="1"/>
  <c r="N26" i="69"/>
  <c r="D26" i="69"/>
  <c r="L26" i="69" s="1"/>
  <c r="B26" i="69"/>
  <c r="Z25" i="69"/>
  <c r="P25" i="69"/>
  <c r="X25" i="69" s="1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P23" i="69"/>
  <c r="X23" i="69" s="1"/>
  <c r="N23" i="69"/>
  <c r="D23" i="69"/>
  <c r="L23" i="69" s="1"/>
  <c r="B23" i="69"/>
  <c r="Z22" i="69"/>
  <c r="P22" i="69"/>
  <c r="X22" i="69" s="1"/>
  <c r="N22" i="69"/>
  <c r="L22" i="69"/>
  <c r="D22" i="69"/>
  <c r="B22" i="69"/>
  <c r="Z21" i="69"/>
  <c r="P21" i="69"/>
  <c r="X21" i="69" s="1"/>
  <c r="N21" i="69"/>
  <c r="L21" i="69"/>
  <c r="D21" i="69"/>
  <c r="B21" i="69"/>
  <c r="Z20" i="69"/>
  <c r="X20" i="69"/>
  <c r="P20" i="69"/>
  <c r="N20" i="69"/>
  <c r="D20" i="69"/>
  <c r="L20" i="69" s="1"/>
  <c r="B20" i="69"/>
  <c r="Z19" i="69"/>
  <c r="X19" i="69"/>
  <c r="P19" i="69"/>
  <c r="N19" i="69"/>
  <c r="D19" i="69"/>
  <c r="L19" i="69" s="1"/>
  <c r="B19" i="69"/>
  <c r="Z18" i="69"/>
  <c r="P18" i="69"/>
  <c r="X18" i="69" s="1"/>
  <c r="N18" i="69"/>
  <c r="D18" i="69"/>
  <c r="L18" i="69" s="1"/>
  <c r="B18" i="69"/>
  <c r="Z17" i="69"/>
  <c r="P17" i="69"/>
  <c r="X17" i="69" s="1"/>
  <c r="N17" i="69"/>
  <c r="L17" i="69"/>
  <c r="D17" i="69"/>
  <c r="B17" i="69"/>
  <c r="Z16" i="69"/>
  <c r="P16" i="69"/>
  <c r="X16" i="69" s="1"/>
  <c r="N16" i="69"/>
  <c r="L16" i="69"/>
  <c r="D16" i="69"/>
  <c r="B16" i="69"/>
  <c r="Z15" i="69"/>
  <c r="P15" i="69"/>
  <c r="X15" i="69" s="1"/>
  <c r="N15" i="69"/>
  <c r="L15" i="69"/>
  <c r="D15" i="69"/>
  <c r="B15" i="69"/>
  <c r="Z14" i="69"/>
  <c r="P14" i="69"/>
  <c r="X14" i="69" s="1"/>
  <c r="N14" i="69"/>
  <c r="D14" i="69"/>
  <c r="L14" i="69" s="1"/>
  <c r="B14" i="69"/>
  <c r="X13" i="69"/>
  <c r="Z13" i="69" s="1"/>
  <c r="P13" i="69"/>
  <c r="D13" i="69"/>
  <c r="B13" i="69"/>
  <c r="T12" i="69"/>
  <c r="V117" i="69" s="1"/>
  <c r="H12" i="69"/>
  <c r="J73" i="69" s="1"/>
  <c r="D6" i="69"/>
  <c r="D4" i="69"/>
  <c r="X76" i="67"/>
  <c r="Z76" i="67" s="1"/>
  <c r="L76" i="67"/>
  <c r="N76" i="67" s="1"/>
  <c r="J76" i="67"/>
  <c r="Z72" i="67"/>
  <c r="X72" i="67"/>
  <c r="T72" i="67"/>
  <c r="P72" i="67"/>
  <c r="H72" i="67"/>
  <c r="N72" i="67" s="1"/>
  <c r="D72" i="67"/>
  <c r="L72" i="67" s="1"/>
  <c r="Z70" i="67"/>
  <c r="X70" i="67"/>
  <c r="N70" i="67"/>
  <c r="L70" i="67"/>
  <c r="B70" i="67"/>
  <c r="X69" i="67"/>
  <c r="T69" i="67"/>
  <c r="Z69" i="67" s="1"/>
  <c r="P69" i="67"/>
  <c r="N69" i="67"/>
  <c r="L69" i="67"/>
  <c r="J69" i="67"/>
  <c r="H69" i="67"/>
  <c r="D69" i="67"/>
  <c r="B69" i="67"/>
  <c r="Z68" i="67"/>
  <c r="X68" i="67"/>
  <c r="V68" i="67"/>
  <c r="N68" i="67"/>
  <c r="L68" i="67"/>
  <c r="J68" i="67"/>
  <c r="B68" i="67"/>
  <c r="T67" i="67"/>
  <c r="P67" i="67"/>
  <c r="N67" i="67"/>
  <c r="J67" i="67"/>
  <c r="H67" i="67"/>
  <c r="D67" i="67"/>
  <c r="L67" i="67" s="1"/>
  <c r="B67" i="67"/>
  <c r="Z66" i="67"/>
  <c r="X66" i="67"/>
  <c r="V66" i="67"/>
  <c r="N66" i="67"/>
  <c r="L66" i="67"/>
  <c r="B66" i="67"/>
  <c r="Z65" i="67"/>
  <c r="X65" i="67"/>
  <c r="L65" i="67"/>
  <c r="N65" i="67" s="1"/>
  <c r="J65" i="67"/>
  <c r="B65" i="67"/>
  <c r="X64" i="67"/>
  <c r="T64" i="67"/>
  <c r="P64" i="67"/>
  <c r="J64" i="67"/>
  <c r="H64" i="67"/>
  <c r="D64" i="67"/>
  <c r="L64" i="67" s="1"/>
  <c r="B64" i="67"/>
  <c r="Z63" i="67"/>
  <c r="X63" i="67"/>
  <c r="V63" i="67"/>
  <c r="N63" i="67"/>
  <c r="L63" i="67"/>
  <c r="J63" i="67"/>
  <c r="B63" i="67"/>
  <c r="X62" i="67"/>
  <c r="Z62" i="67" s="1"/>
  <c r="L62" i="67"/>
  <c r="N62" i="67" s="1"/>
  <c r="J62" i="67"/>
  <c r="B62" i="67"/>
  <c r="Z61" i="67"/>
  <c r="X61" i="67"/>
  <c r="N61" i="67"/>
  <c r="L61" i="67"/>
  <c r="J61" i="67"/>
  <c r="B61" i="67"/>
  <c r="T60" i="67"/>
  <c r="Z60" i="67" s="1"/>
  <c r="P60" i="67"/>
  <c r="X60" i="67" s="1"/>
  <c r="N60" i="67"/>
  <c r="H60" i="67"/>
  <c r="D60" i="67"/>
  <c r="L60" i="67" s="1"/>
  <c r="B60" i="67"/>
  <c r="Z59" i="67"/>
  <c r="X59" i="67"/>
  <c r="L59" i="67"/>
  <c r="N59" i="67" s="1"/>
  <c r="J59" i="67"/>
  <c r="B59" i="67"/>
  <c r="X58" i="67"/>
  <c r="Z58" i="67" s="1"/>
  <c r="T58" i="67"/>
  <c r="P58" i="67"/>
  <c r="H58" i="67"/>
  <c r="J58" i="67" s="1"/>
  <c r="D58" i="67"/>
  <c r="B58" i="67"/>
  <c r="Z57" i="67"/>
  <c r="X57" i="67"/>
  <c r="L57" i="67"/>
  <c r="N57" i="67" s="1"/>
  <c r="J57" i="67"/>
  <c r="B57" i="67"/>
  <c r="Z56" i="67"/>
  <c r="X56" i="67"/>
  <c r="N56" i="67"/>
  <c r="L56" i="67"/>
  <c r="B56" i="67"/>
  <c r="X55" i="67"/>
  <c r="Z55" i="67" s="1"/>
  <c r="V55" i="67"/>
  <c r="T55" i="67"/>
  <c r="P55" i="67"/>
  <c r="N55" i="67"/>
  <c r="H55" i="67"/>
  <c r="D55" i="67"/>
  <c r="L55" i="67" s="1"/>
  <c r="B55" i="67"/>
  <c r="Z54" i="67"/>
  <c r="X54" i="67"/>
  <c r="N54" i="67"/>
  <c r="L54" i="67"/>
  <c r="J54" i="67"/>
  <c r="B54" i="67"/>
  <c r="T53" i="67"/>
  <c r="P53" i="67"/>
  <c r="N53" i="67"/>
  <c r="L53" i="67"/>
  <c r="J53" i="67"/>
  <c r="H53" i="67"/>
  <c r="D53" i="67"/>
  <c r="B53" i="67"/>
  <c r="Z52" i="67"/>
  <c r="X52" i="67"/>
  <c r="V52" i="67"/>
  <c r="N52" i="67"/>
  <c r="L52" i="67"/>
  <c r="J52" i="67"/>
  <c r="B52" i="67"/>
  <c r="T51" i="67"/>
  <c r="Z51" i="67" s="1"/>
  <c r="P51" i="67"/>
  <c r="N51" i="67"/>
  <c r="J51" i="67"/>
  <c r="H51" i="67"/>
  <c r="D51" i="67"/>
  <c r="L51" i="67" s="1"/>
  <c r="B51" i="67"/>
  <c r="X50" i="67"/>
  <c r="Z50" i="67" s="1"/>
  <c r="V50" i="67"/>
  <c r="N50" i="67"/>
  <c r="L50" i="67"/>
  <c r="B50" i="67"/>
  <c r="T49" i="67"/>
  <c r="P49" i="67"/>
  <c r="X49" i="67" s="1"/>
  <c r="Z49" i="67" s="1"/>
  <c r="L49" i="67"/>
  <c r="N49" i="67" s="1"/>
  <c r="J49" i="67"/>
  <c r="H49" i="67"/>
  <c r="D49" i="67"/>
  <c r="B49" i="67"/>
  <c r="Z48" i="67"/>
  <c r="X48" i="67"/>
  <c r="N48" i="67"/>
  <c r="L48" i="67"/>
  <c r="J48" i="67"/>
  <c r="B48" i="67"/>
  <c r="Z47" i="67"/>
  <c r="X47" i="67"/>
  <c r="V47" i="67"/>
  <c r="T47" i="67"/>
  <c r="P47" i="67"/>
  <c r="H47" i="67"/>
  <c r="D47" i="67"/>
  <c r="B47" i="67"/>
  <c r="Z46" i="67"/>
  <c r="X46" i="67"/>
  <c r="N46" i="67"/>
  <c r="L46" i="67"/>
  <c r="J46" i="67"/>
  <c r="B46" i="67"/>
  <c r="Z45" i="67"/>
  <c r="X45" i="67"/>
  <c r="V45" i="67"/>
  <c r="N45" i="67"/>
  <c r="L45" i="67"/>
  <c r="B45" i="67"/>
  <c r="Z44" i="67"/>
  <c r="X44" i="67"/>
  <c r="V44" i="67"/>
  <c r="L44" i="67"/>
  <c r="N44" i="67" s="1"/>
  <c r="J44" i="67"/>
  <c r="B44" i="67"/>
  <c r="Z43" i="67"/>
  <c r="X43" i="67"/>
  <c r="N43" i="67"/>
  <c r="L43" i="67"/>
  <c r="J43" i="67"/>
  <c r="B43" i="67"/>
  <c r="Z42" i="67"/>
  <c r="X42" i="67"/>
  <c r="N42" i="67"/>
  <c r="L42" i="67"/>
  <c r="J42" i="67"/>
  <c r="B42" i="67"/>
  <c r="Z41" i="67"/>
  <c r="X41" i="67"/>
  <c r="V41" i="67"/>
  <c r="N41" i="67"/>
  <c r="L41" i="67"/>
  <c r="B41" i="67"/>
  <c r="Z40" i="67"/>
  <c r="X40" i="67"/>
  <c r="V40" i="67"/>
  <c r="L40" i="67"/>
  <c r="N40" i="67" s="1"/>
  <c r="J40" i="67"/>
  <c r="B40" i="67"/>
  <c r="Z39" i="67"/>
  <c r="X39" i="67"/>
  <c r="V39" i="67"/>
  <c r="N39" i="67"/>
  <c r="L39" i="67"/>
  <c r="J39" i="67"/>
  <c r="B39" i="67"/>
  <c r="Z38" i="67"/>
  <c r="X38" i="67"/>
  <c r="N38" i="67"/>
  <c r="L38" i="67"/>
  <c r="J38" i="67"/>
  <c r="B38" i="67"/>
  <c r="Z37" i="67"/>
  <c r="X37" i="67"/>
  <c r="V37" i="67"/>
  <c r="N37" i="67"/>
  <c r="L37" i="67"/>
  <c r="B37" i="67"/>
  <c r="V36" i="67"/>
  <c r="T36" i="67"/>
  <c r="P36" i="67"/>
  <c r="L36" i="67"/>
  <c r="N36" i="67" s="1"/>
  <c r="J36" i="67"/>
  <c r="H36" i="67"/>
  <c r="D36" i="67"/>
  <c r="B36" i="67"/>
  <c r="X35" i="67"/>
  <c r="Z35" i="67" s="1"/>
  <c r="V35" i="67"/>
  <c r="N35" i="67"/>
  <c r="L35" i="67"/>
  <c r="J35" i="67"/>
  <c r="B35" i="67"/>
  <c r="X34" i="67"/>
  <c r="Z34" i="67" s="1"/>
  <c r="V34" i="67"/>
  <c r="N34" i="67"/>
  <c r="L34" i="67"/>
  <c r="B34" i="67"/>
  <c r="Z33" i="67"/>
  <c r="X33" i="67"/>
  <c r="L33" i="67"/>
  <c r="N33" i="67" s="1"/>
  <c r="J33" i="67"/>
  <c r="B33" i="67"/>
  <c r="Z32" i="67"/>
  <c r="X32" i="67"/>
  <c r="N32" i="67"/>
  <c r="L32" i="67"/>
  <c r="B32" i="67"/>
  <c r="X31" i="67"/>
  <c r="Z31" i="67" s="1"/>
  <c r="V31" i="67"/>
  <c r="N31" i="67"/>
  <c r="L31" i="67"/>
  <c r="J31" i="67"/>
  <c r="B31" i="67"/>
  <c r="X30" i="67"/>
  <c r="Z30" i="67" s="1"/>
  <c r="V30" i="67"/>
  <c r="N30" i="67"/>
  <c r="L30" i="67"/>
  <c r="B30" i="67"/>
  <c r="Z29" i="67"/>
  <c r="X29" i="67"/>
  <c r="L29" i="67"/>
  <c r="N29" i="67" s="1"/>
  <c r="J29" i="67"/>
  <c r="B29" i="67"/>
  <c r="X28" i="67"/>
  <c r="Z28" i="67" s="1"/>
  <c r="N28" i="67"/>
  <c r="L28" i="67"/>
  <c r="B28" i="67"/>
  <c r="X27" i="67"/>
  <c r="Z27" i="67" s="1"/>
  <c r="V27" i="67"/>
  <c r="N27" i="67"/>
  <c r="L27" i="67"/>
  <c r="J27" i="67"/>
  <c r="B27" i="67"/>
  <c r="V26" i="67"/>
  <c r="T26" i="67"/>
  <c r="P26" i="67"/>
  <c r="X26" i="67" s="1"/>
  <c r="H26" i="67"/>
  <c r="D26" i="67"/>
  <c r="B26" i="67"/>
  <c r="T25" i="67"/>
  <c r="T74" i="67" s="1"/>
  <c r="P25" i="67"/>
  <c r="N25" i="67"/>
  <c r="L25" i="67"/>
  <c r="J25" i="67"/>
  <c r="H25" i="67"/>
  <c r="D25" i="67"/>
  <c r="T23" i="67"/>
  <c r="Z21" i="67"/>
  <c r="X21" i="67"/>
  <c r="N21" i="67"/>
  <c r="L21" i="67"/>
  <c r="J21" i="67"/>
  <c r="B21" i="67"/>
  <c r="Z20" i="67"/>
  <c r="X20" i="67"/>
  <c r="N20" i="67"/>
  <c r="L20" i="67"/>
  <c r="J20" i="67"/>
  <c r="B20" i="67"/>
  <c r="Z19" i="67"/>
  <c r="X19" i="67"/>
  <c r="V19" i="67"/>
  <c r="T19" i="67"/>
  <c r="P19" i="67"/>
  <c r="L19" i="67"/>
  <c r="H19" i="67"/>
  <c r="D19" i="67"/>
  <c r="Z17" i="67"/>
  <c r="P17" i="67"/>
  <c r="X17" i="67" s="1"/>
  <c r="N17" i="67"/>
  <c r="L17" i="67"/>
  <c r="D17" i="67"/>
  <c r="B17" i="67"/>
  <c r="Z16" i="67"/>
  <c r="P16" i="67"/>
  <c r="X16" i="67" s="1"/>
  <c r="N16" i="67"/>
  <c r="D16" i="67"/>
  <c r="L16" i="67" s="1"/>
  <c r="B16" i="67"/>
  <c r="Z15" i="67"/>
  <c r="X15" i="67"/>
  <c r="P15" i="67"/>
  <c r="N15" i="67"/>
  <c r="D15" i="67"/>
  <c r="L15" i="67" s="1"/>
  <c r="B15" i="67"/>
  <c r="Z14" i="67"/>
  <c r="X14" i="67"/>
  <c r="P14" i="67"/>
  <c r="N14" i="67"/>
  <c r="D14" i="67"/>
  <c r="L14" i="67" s="1"/>
  <c r="B14" i="67"/>
  <c r="Z13" i="67"/>
  <c r="P13" i="67"/>
  <c r="X13" i="67" s="1"/>
  <c r="N13" i="67"/>
  <c r="D13" i="67"/>
  <c r="B13" i="67"/>
  <c r="T12" i="67"/>
  <c r="P12" i="67"/>
  <c r="H12" i="67"/>
  <c r="J70" i="67" s="1"/>
  <c r="D6" i="67"/>
  <c r="D4" i="67"/>
  <c r="Z121" i="66"/>
  <c r="X121" i="66"/>
  <c r="L121" i="66"/>
  <c r="N121" i="66" s="1"/>
  <c r="Z117" i="66"/>
  <c r="P117" i="66"/>
  <c r="X117" i="66" s="1"/>
  <c r="N117" i="66"/>
  <c r="D117" i="66"/>
  <c r="L117" i="66" s="1"/>
  <c r="B117" i="66"/>
  <c r="P116" i="66"/>
  <c r="X116" i="66" s="1"/>
  <c r="Z116" i="66" s="1"/>
  <c r="N116" i="66"/>
  <c r="L116" i="66"/>
  <c r="D116" i="66"/>
  <c r="B116" i="66"/>
  <c r="P115" i="66"/>
  <c r="X115" i="66" s="1"/>
  <c r="Z115" i="66" s="1"/>
  <c r="L115" i="66"/>
  <c r="N115" i="66" s="1"/>
  <c r="D115" i="66"/>
  <c r="D114" i="66" s="1"/>
  <c r="L114" i="66" s="1"/>
  <c r="N114" i="66" s="1"/>
  <c r="B115" i="66"/>
  <c r="Z114" i="66"/>
  <c r="T114" i="66"/>
  <c r="P114" i="66"/>
  <c r="X114" i="66" s="1"/>
  <c r="H114" i="66"/>
  <c r="Z112" i="66"/>
  <c r="X112" i="66"/>
  <c r="N112" i="66"/>
  <c r="L112" i="66"/>
  <c r="B112" i="66"/>
  <c r="T111" i="66"/>
  <c r="Z111" i="66" s="1"/>
  <c r="P111" i="66"/>
  <c r="H111" i="66"/>
  <c r="N111" i="66" s="1"/>
  <c r="D111" i="66"/>
  <c r="L111" i="66" s="1"/>
  <c r="B111" i="66"/>
  <c r="Z110" i="66"/>
  <c r="X110" i="66"/>
  <c r="N110" i="66"/>
  <c r="L110" i="66"/>
  <c r="B110" i="66"/>
  <c r="T109" i="66"/>
  <c r="P109" i="66"/>
  <c r="H109" i="66"/>
  <c r="N109" i="66" s="1"/>
  <c r="D109" i="66"/>
  <c r="L109" i="66" s="1"/>
  <c r="B109" i="66"/>
  <c r="Z108" i="66"/>
  <c r="X108" i="66"/>
  <c r="N108" i="66"/>
  <c r="L108" i="66"/>
  <c r="B108" i="66"/>
  <c r="Z107" i="66"/>
  <c r="X107" i="66"/>
  <c r="L107" i="66"/>
  <c r="N107" i="66" s="1"/>
  <c r="B107" i="66"/>
  <c r="T106" i="66"/>
  <c r="P106" i="66"/>
  <c r="X106" i="66" s="1"/>
  <c r="N106" i="66"/>
  <c r="H106" i="66"/>
  <c r="D106" i="66"/>
  <c r="L106" i="66" s="1"/>
  <c r="B106" i="66"/>
  <c r="X105" i="66"/>
  <c r="Z105" i="66" s="1"/>
  <c r="L105" i="66"/>
  <c r="N105" i="66" s="1"/>
  <c r="B105" i="66"/>
  <c r="Z104" i="66"/>
  <c r="X104" i="66"/>
  <c r="L104" i="66"/>
  <c r="N104" i="66" s="1"/>
  <c r="B104" i="66"/>
  <c r="X103" i="66"/>
  <c r="Z103" i="66" s="1"/>
  <c r="N103" i="66"/>
  <c r="L103" i="66"/>
  <c r="B103" i="66"/>
  <c r="X102" i="66"/>
  <c r="Z102" i="66" s="1"/>
  <c r="T102" i="66"/>
  <c r="P102" i="66"/>
  <c r="H102" i="66"/>
  <c r="D102" i="66"/>
  <c r="L102" i="66" s="1"/>
  <c r="N102" i="66" s="1"/>
  <c r="B102" i="66"/>
  <c r="Z101" i="66"/>
  <c r="X101" i="66"/>
  <c r="N101" i="66"/>
  <c r="L101" i="66"/>
  <c r="B101" i="66"/>
  <c r="X100" i="66"/>
  <c r="Z100" i="66" s="1"/>
  <c r="N100" i="66"/>
  <c r="L100" i="66"/>
  <c r="J100" i="66"/>
  <c r="B100" i="66"/>
  <c r="T99" i="66"/>
  <c r="Z99" i="66" s="1"/>
  <c r="P99" i="66"/>
  <c r="X99" i="66" s="1"/>
  <c r="L99" i="66"/>
  <c r="H99" i="66"/>
  <c r="N99" i="66" s="1"/>
  <c r="D99" i="66"/>
  <c r="B99" i="66"/>
  <c r="Z98" i="66"/>
  <c r="X98" i="66"/>
  <c r="L98" i="66"/>
  <c r="N98" i="66" s="1"/>
  <c r="J98" i="66"/>
  <c r="B98" i="66"/>
  <c r="X97" i="66"/>
  <c r="Z97" i="66" s="1"/>
  <c r="L97" i="66"/>
  <c r="N97" i="66" s="1"/>
  <c r="J97" i="66"/>
  <c r="B97" i="66"/>
  <c r="T96" i="66"/>
  <c r="P96" i="66"/>
  <c r="X96" i="66" s="1"/>
  <c r="Z96" i="66" s="1"/>
  <c r="H96" i="66"/>
  <c r="D96" i="66"/>
  <c r="L96" i="66" s="1"/>
  <c r="B96" i="66"/>
  <c r="X95" i="66"/>
  <c r="Z95" i="66" s="1"/>
  <c r="N95" i="66"/>
  <c r="L95" i="66"/>
  <c r="B95" i="66"/>
  <c r="X94" i="66"/>
  <c r="Z94" i="66" s="1"/>
  <c r="T94" i="66"/>
  <c r="P94" i="66"/>
  <c r="N94" i="66"/>
  <c r="H94" i="66"/>
  <c r="D94" i="66"/>
  <c r="L94" i="66" s="1"/>
  <c r="B94" i="66"/>
  <c r="Z93" i="66"/>
  <c r="X93" i="66"/>
  <c r="N93" i="66"/>
  <c r="L93" i="66"/>
  <c r="B93" i="66"/>
  <c r="X92" i="66"/>
  <c r="Z92" i="66" s="1"/>
  <c r="N92" i="66"/>
  <c r="L92" i="66"/>
  <c r="J92" i="66"/>
  <c r="B92" i="66"/>
  <c r="T91" i="66"/>
  <c r="Z91" i="66" s="1"/>
  <c r="P91" i="66"/>
  <c r="X91" i="66" s="1"/>
  <c r="N91" i="66"/>
  <c r="L91" i="66"/>
  <c r="H91" i="66"/>
  <c r="D91" i="66"/>
  <c r="B91" i="66"/>
  <c r="Z90" i="66"/>
  <c r="X90" i="66"/>
  <c r="N90" i="66"/>
  <c r="L90" i="66"/>
  <c r="J90" i="66"/>
  <c r="B90" i="66"/>
  <c r="X89" i="66"/>
  <c r="Z89" i="66" s="1"/>
  <c r="L89" i="66"/>
  <c r="N89" i="66" s="1"/>
  <c r="B89" i="66"/>
  <c r="Z88" i="66"/>
  <c r="T88" i="66"/>
  <c r="P88" i="66"/>
  <c r="X88" i="66" s="1"/>
  <c r="H88" i="66"/>
  <c r="D88" i="66"/>
  <c r="B88" i="66"/>
  <c r="X87" i="66"/>
  <c r="Z87" i="66" s="1"/>
  <c r="N87" i="66"/>
  <c r="L87" i="66"/>
  <c r="B87" i="66"/>
  <c r="X86" i="66"/>
  <c r="Z86" i="66" s="1"/>
  <c r="T86" i="66"/>
  <c r="P86" i="66"/>
  <c r="H86" i="66"/>
  <c r="D86" i="66"/>
  <c r="L86" i="66" s="1"/>
  <c r="N86" i="66" s="1"/>
  <c r="B86" i="66"/>
  <c r="X85" i="66"/>
  <c r="Z85" i="66" s="1"/>
  <c r="L85" i="66"/>
  <c r="N85" i="66" s="1"/>
  <c r="B85" i="66"/>
  <c r="X84" i="66"/>
  <c r="T84" i="66"/>
  <c r="P84" i="66"/>
  <c r="N84" i="66"/>
  <c r="L84" i="66"/>
  <c r="J84" i="66"/>
  <c r="H84" i="66"/>
  <c r="D84" i="66"/>
  <c r="B84" i="66"/>
  <c r="Z83" i="66"/>
  <c r="X83" i="66"/>
  <c r="N83" i="66"/>
  <c r="L83" i="66"/>
  <c r="B83" i="66"/>
  <c r="Z82" i="66"/>
  <c r="X82" i="66"/>
  <c r="L82" i="66"/>
  <c r="N82" i="66" s="1"/>
  <c r="J82" i="66"/>
  <c r="B82" i="66"/>
  <c r="X81" i="66"/>
  <c r="Z81" i="66" s="1"/>
  <c r="T81" i="66"/>
  <c r="P81" i="66"/>
  <c r="H81" i="66"/>
  <c r="D81" i="66"/>
  <c r="B81" i="66"/>
  <c r="Z80" i="66"/>
  <c r="X80" i="66"/>
  <c r="L80" i="66"/>
  <c r="N80" i="66" s="1"/>
  <c r="B80" i="66"/>
  <c r="T79" i="66"/>
  <c r="P79" i="66"/>
  <c r="J79" i="66"/>
  <c r="H79" i="66"/>
  <c r="N79" i="66" s="1"/>
  <c r="D79" i="66"/>
  <c r="L79" i="66" s="1"/>
  <c r="B79" i="66"/>
  <c r="Z78" i="66"/>
  <c r="X78" i="66"/>
  <c r="N78" i="66"/>
  <c r="L78" i="66"/>
  <c r="B78" i="66"/>
  <c r="Z77" i="66"/>
  <c r="X77" i="66"/>
  <c r="N77" i="66"/>
  <c r="L77" i="66"/>
  <c r="B77" i="66"/>
  <c r="X76" i="66"/>
  <c r="Z76" i="66" s="1"/>
  <c r="N76" i="66"/>
  <c r="L76" i="66"/>
  <c r="J76" i="66"/>
  <c r="B76" i="66"/>
  <c r="Z75" i="66"/>
  <c r="X75" i="66"/>
  <c r="N75" i="66"/>
  <c r="L75" i="66"/>
  <c r="J75" i="66"/>
  <c r="B75" i="66"/>
  <c r="Z74" i="66"/>
  <c r="X74" i="66"/>
  <c r="N74" i="66"/>
  <c r="L74" i="66"/>
  <c r="B74" i="66"/>
  <c r="Z73" i="66"/>
  <c r="X73" i="66"/>
  <c r="L73" i="66"/>
  <c r="N73" i="66" s="1"/>
  <c r="B73" i="66"/>
  <c r="X72" i="66"/>
  <c r="Z72" i="66" s="1"/>
  <c r="N72" i="66"/>
  <c r="L72" i="66"/>
  <c r="J72" i="66"/>
  <c r="B72" i="66"/>
  <c r="Z71" i="66"/>
  <c r="X71" i="66"/>
  <c r="N71" i="66"/>
  <c r="L71" i="66"/>
  <c r="B71" i="66"/>
  <c r="Z70" i="66"/>
  <c r="X70" i="66"/>
  <c r="N70" i="66"/>
  <c r="L70" i="66"/>
  <c r="B70" i="66"/>
  <c r="Z69" i="66"/>
  <c r="X69" i="66"/>
  <c r="N69" i="66"/>
  <c r="L69" i="66"/>
  <c r="B69" i="66"/>
  <c r="T68" i="66"/>
  <c r="P68" i="66"/>
  <c r="N68" i="66"/>
  <c r="L68" i="66"/>
  <c r="H68" i="66"/>
  <c r="D68" i="66"/>
  <c r="B68" i="66"/>
  <c r="Z67" i="66"/>
  <c r="X67" i="66"/>
  <c r="L67" i="66"/>
  <c r="N67" i="66" s="1"/>
  <c r="B67" i="66"/>
  <c r="Z66" i="66"/>
  <c r="X66" i="66"/>
  <c r="L66" i="66"/>
  <c r="N66" i="66" s="1"/>
  <c r="J66" i="66"/>
  <c r="B66" i="66"/>
  <c r="X65" i="66"/>
  <c r="Z65" i="66" s="1"/>
  <c r="L65" i="66"/>
  <c r="N65" i="66" s="1"/>
  <c r="J65" i="66"/>
  <c r="B65" i="66"/>
  <c r="Z64" i="66"/>
  <c r="X64" i="66"/>
  <c r="N64" i="66"/>
  <c r="L64" i="66"/>
  <c r="B64" i="66"/>
  <c r="Z63" i="66"/>
  <c r="X63" i="66"/>
  <c r="N63" i="66"/>
  <c r="L63" i="66"/>
  <c r="B63" i="66"/>
  <c r="Z62" i="66"/>
  <c r="X62" i="66"/>
  <c r="L62" i="66"/>
  <c r="N62" i="66" s="1"/>
  <c r="J62" i="66"/>
  <c r="B62" i="66"/>
  <c r="X61" i="66"/>
  <c r="Z61" i="66" s="1"/>
  <c r="L61" i="66"/>
  <c r="N61" i="66" s="1"/>
  <c r="J61" i="66"/>
  <c r="B61" i="66"/>
  <c r="Z60" i="66"/>
  <c r="X60" i="66"/>
  <c r="N60" i="66"/>
  <c r="L60" i="66"/>
  <c r="B60" i="66"/>
  <c r="Z59" i="66"/>
  <c r="X59" i="66"/>
  <c r="L59" i="66"/>
  <c r="N59" i="66" s="1"/>
  <c r="B59" i="66"/>
  <c r="Z58" i="66"/>
  <c r="X58" i="66"/>
  <c r="L58" i="66"/>
  <c r="N58" i="66" s="1"/>
  <c r="B58" i="66"/>
  <c r="X57" i="66"/>
  <c r="Z57" i="66" s="1"/>
  <c r="T57" i="66"/>
  <c r="P57" i="66"/>
  <c r="J57" i="66"/>
  <c r="H57" i="66"/>
  <c r="D57" i="66"/>
  <c r="L57" i="66" s="1"/>
  <c r="N57" i="66" s="1"/>
  <c r="B57" i="66"/>
  <c r="T56" i="66"/>
  <c r="P56" i="66"/>
  <c r="X56" i="66" s="1"/>
  <c r="Z56" i="66" s="1"/>
  <c r="L56" i="66"/>
  <c r="N56" i="66" s="1"/>
  <c r="H56" i="66"/>
  <c r="D56" i="66"/>
  <c r="Z52" i="66"/>
  <c r="X52" i="66"/>
  <c r="N52" i="66"/>
  <c r="L52" i="66"/>
  <c r="B52" i="66"/>
  <c r="Z51" i="66"/>
  <c r="X51" i="66"/>
  <c r="N51" i="66"/>
  <c r="L51" i="66"/>
  <c r="B51" i="66"/>
  <c r="Z50" i="66"/>
  <c r="X50" i="66"/>
  <c r="N50" i="66"/>
  <c r="L50" i="66"/>
  <c r="B50" i="66"/>
  <c r="Z49" i="66"/>
  <c r="X49" i="66"/>
  <c r="N49" i="66"/>
  <c r="L49" i="66"/>
  <c r="B49" i="66"/>
  <c r="Z48" i="66"/>
  <c r="X48" i="66"/>
  <c r="N48" i="66"/>
  <c r="L48" i="66"/>
  <c r="B48" i="66"/>
  <c r="Z47" i="66"/>
  <c r="X47" i="66"/>
  <c r="N47" i="66"/>
  <c r="L47" i="66"/>
  <c r="B47" i="66"/>
  <c r="Z46" i="66"/>
  <c r="X46" i="66"/>
  <c r="N46" i="66"/>
  <c r="L46" i="66"/>
  <c r="J46" i="66"/>
  <c r="B46" i="66"/>
  <c r="Z45" i="66"/>
  <c r="X45" i="66"/>
  <c r="N45" i="66"/>
  <c r="L45" i="66"/>
  <c r="B45" i="66"/>
  <c r="Z44" i="66"/>
  <c r="X44" i="66"/>
  <c r="N44" i="66"/>
  <c r="L44" i="66"/>
  <c r="B44" i="66"/>
  <c r="Z43" i="66"/>
  <c r="X43" i="66"/>
  <c r="N43" i="66"/>
  <c r="L43" i="66"/>
  <c r="B43" i="66"/>
  <c r="Z42" i="66"/>
  <c r="X42" i="66"/>
  <c r="N42" i="66"/>
  <c r="L42" i="66"/>
  <c r="J42" i="66"/>
  <c r="B42" i="66"/>
  <c r="Z41" i="66"/>
  <c r="X41" i="66"/>
  <c r="N41" i="66"/>
  <c r="L41" i="66"/>
  <c r="B41" i="66"/>
  <c r="Z40" i="66"/>
  <c r="X40" i="66"/>
  <c r="N40" i="66"/>
  <c r="L40" i="66"/>
  <c r="B40" i="66"/>
  <c r="Z39" i="66"/>
  <c r="X39" i="66"/>
  <c r="N39" i="66"/>
  <c r="L39" i="66"/>
  <c r="B39" i="66"/>
  <c r="Z38" i="66"/>
  <c r="X38" i="66"/>
  <c r="N38" i="66"/>
  <c r="L38" i="66"/>
  <c r="B38" i="66"/>
  <c r="X37" i="66"/>
  <c r="Z37" i="66" s="1"/>
  <c r="L37" i="66"/>
  <c r="N37" i="66" s="1"/>
  <c r="B37" i="66"/>
  <c r="T36" i="66"/>
  <c r="P36" i="66"/>
  <c r="X36" i="66" s="1"/>
  <c r="Z36" i="66" s="1"/>
  <c r="L36" i="66"/>
  <c r="N36" i="66" s="1"/>
  <c r="J36" i="66"/>
  <c r="H36" i="66"/>
  <c r="D36" i="66"/>
  <c r="Z34" i="66"/>
  <c r="X34" i="66"/>
  <c r="P34" i="66"/>
  <c r="N34" i="66"/>
  <c r="D34" i="66"/>
  <c r="L34" i="66" s="1"/>
  <c r="B34" i="66"/>
  <c r="Z33" i="66"/>
  <c r="X33" i="66"/>
  <c r="P33" i="66"/>
  <c r="N33" i="66"/>
  <c r="D33" i="66"/>
  <c r="L33" i="66" s="1"/>
  <c r="B33" i="66"/>
  <c r="Z32" i="66"/>
  <c r="P32" i="66"/>
  <c r="X32" i="66" s="1"/>
  <c r="N32" i="66"/>
  <c r="D32" i="66"/>
  <c r="L32" i="66" s="1"/>
  <c r="B32" i="66"/>
  <c r="Z31" i="66"/>
  <c r="X31" i="66"/>
  <c r="P31" i="66"/>
  <c r="N31" i="66"/>
  <c r="L31" i="66"/>
  <c r="D31" i="66"/>
  <c r="B31" i="66"/>
  <c r="Z30" i="66"/>
  <c r="X30" i="66"/>
  <c r="P30" i="66"/>
  <c r="N30" i="66"/>
  <c r="L30" i="66"/>
  <c r="D30" i="66"/>
  <c r="B30" i="66"/>
  <c r="Z29" i="66"/>
  <c r="X29" i="66"/>
  <c r="P29" i="66"/>
  <c r="N29" i="66"/>
  <c r="D29" i="66"/>
  <c r="L29" i="66" s="1"/>
  <c r="B29" i="66"/>
  <c r="Z28" i="66"/>
  <c r="X28" i="66"/>
  <c r="P28" i="66"/>
  <c r="N28" i="66"/>
  <c r="L28" i="66"/>
  <c r="D28" i="66"/>
  <c r="B28" i="66"/>
  <c r="Z27" i="66"/>
  <c r="X27" i="66"/>
  <c r="P27" i="66"/>
  <c r="N27" i="66"/>
  <c r="L27" i="66"/>
  <c r="D27" i="66"/>
  <c r="B27" i="66"/>
  <c r="Z26" i="66"/>
  <c r="P26" i="66"/>
  <c r="X26" i="66" s="1"/>
  <c r="N26" i="66"/>
  <c r="L26" i="66"/>
  <c r="D26" i="66"/>
  <c r="B26" i="66"/>
  <c r="Z25" i="66"/>
  <c r="P25" i="66"/>
  <c r="X25" i="66" s="1"/>
  <c r="N25" i="66"/>
  <c r="L25" i="66"/>
  <c r="D25" i="66"/>
  <c r="B25" i="66"/>
  <c r="Z24" i="66"/>
  <c r="P24" i="66"/>
  <c r="X24" i="66" s="1"/>
  <c r="N24" i="66"/>
  <c r="L24" i="66"/>
  <c r="D24" i="66"/>
  <c r="B24" i="66"/>
  <c r="Z23" i="66"/>
  <c r="P23" i="66"/>
  <c r="X23" i="66" s="1"/>
  <c r="N23" i="66"/>
  <c r="D23" i="66"/>
  <c r="L23" i="66" s="1"/>
  <c r="B23" i="66"/>
  <c r="Z22" i="66"/>
  <c r="X22" i="66"/>
  <c r="P22" i="66"/>
  <c r="N22" i="66"/>
  <c r="L22" i="66"/>
  <c r="D22" i="66"/>
  <c r="B22" i="66"/>
  <c r="Z21" i="66"/>
  <c r="X21" i="66"/>
  <c r="P21" i="66"/>
  <c r="N21" i="66"/>
  <c r="D21" i="66"/>
  <c r="L21" i="66" s="1"/>
  <c r="B21" i="66"/>
  <c r="Z20" i="66"/>
  <c r="P20" i="66"/>
  <c r="X20" i="66" s="1"/>
  <c r="N20" i="66"/>
  <c r="D20" i="66"/>
  <c r="L20" i="66" s="1"/>
  <c r="B20" i="66"/>
  <c r="Z19" i="66"/>
  <c r="X19" i="66"/>
  <c r="P19" i="66"/>
  <c r="N19" i="66"/>
  <c r="L19" i="66"/>
  <c r="D19" i="66"/>
  <c r="B19" i="66"/>
  <c r="Z18" i="66"/>
  <c r="X18" i="66"/>
  <c r="P18" i="66"/>
  <c r="N18" i="66"/>
  <c r="L18" i="66"/>
  <c r="D18" i="66"/>
  <c r="B18" i="66"/>
  <c r="Z17" i="66"/>
  <c r="X17" i="66"/>
  <c r="P17" i="66"/>
  <c r="N17" i="66"/>
  <c r="D17" i="66"/>
  <c r="L17" i="66" s="1"/>
  <c r="B17" i="66"/>
  <c r="Z16" i="66"/>
  <c r="P16" i="66"/>
  <c r="X16" i="66" s="1"/>
  <c r="N16" i="66"/>
  <c r="L16" i="66"/>
  <c r="D16" i="66"/>
  <c r="B16" i="66"/>
  <c r="Z15" i="66"/>
  <c r="X15" i="66"/>
  <c r="P15" i="66"/>
  <c r="N15" i="66"/>
  <c r="L15" i="66"/>
  <c r="D15" i="66"/>
  <c r="B15" i="66"/>
  <c r="Z14" i="66"/>
  <c r="P14" i="66"/>
  <c r="X14" i="66" s="1"/>
  <c r="N14" i="66"/>
  <c r="L14" i="66"/>
  <c r="D14" i="66"/>
  <c r="B14" i="66"/>
  <c r="X13" i="66"/>
  <c r="Z13" i="66" s="1"/>
  <c r="P13" i="66"/>
  <c r="D13" i="66"/>
  <c r="B13" i="66"/>
  <c r="T12" i="66"/>
  <c r="H12" i="66"/>
  <c r="D6" i="66"/>
  <c r="D4" i="66"/>
  <c r="Z68" i="65"/>
  <c r="X68" i="65"/>
  <c r="V68" i="65"/>
  <c r="N68" i="65"/>
  <c r="L68" i="65"/>
  <c r="Z64" i="65"/>
  <c r="T64" i="65"/>
  <c r="X64" i="65" s="1"/>
  <c r="P64" i="65"/>
  <c r="N64" i="65"/>
  <c r="L64" i="65"/>
  <c r="H64" i="65"/>
  <c r="D64" i="65"/>
  <c r="Z62" i="65"/>
  <c r="X62" i="65"/>
  <c r="N62" i="65"/>
  <c r="L62" i="65"/>
  <c r="B62" i="65"/>
  <c r="T61" i="65"/>
  <c r="Z61" i="65" s="1"/>
  <c r="R61" i="65"/>
  <c r="P61" i="65"/>
  <c r="N61" i="65"/>
  <c r="H61" i="65"/>
  <c r="L61" i="65" s="1"/>
  <c r="D61" i="65"/>
  <c r="B61" i="65"/>
  <c r="Z60" i="65"/>
  <c r="X60" i="65"/>
  <c r="V60" i="65"/>
  <c r="N60" i="65"/>
  <c r="L60" i="65"/>
  <c r="B60" i="65"/>
  <c r="Z59" i="65"/>
  <c r="X59" i="65"/>
  <c r="N59" i="65"/>
  <c r="L59" i="65"/>
  <c r="B59" i="65"/>
  <c r="Z58" i="65"/>
  <c r="X58" i="65"/>
  <c r="V58" i="65"/>
  <c r="N58" i="65"/>
  <c r="L58" i="65"/>
  <c r="B58" i="65"/>
  <c r="Z57" i="65"/>
  <c r="V57" i="65"/>
  <c r="T57" i="65"/>
  <c r="P57" i="65"/>
  <c r="X57" i="65" s="1"/>
  <c r="N57" i="65"/>
  <c r="L57" i="65"/>
  <c r="H57" i="65"/>
  <c r="D57" i="65"/>
  <c r="B57" i="65"/>
  <c r="Z56" i="65"/>
  <c r="X56" i="65"/>
  <c r="V56" i="65"/>
  <c r="N56" i="65"/>
  <c r="L56" i="65"/>
  <c r="B56" i="65"/>
  <c r="Z55" i="65"/>
  <c r="X55" i="65"/>
  <c r="V55" i="65"/>
  <c r="N55" i="65"/>
  <c r="L55" i="65"/>
  <c r="B55" i="65"/>
  <c r="Z54" i="65"/>
  <c r="T54" i="65"/>
  <c r="R54" i="65"/>
  <c r="P54" i="65"/>
  <c r="X54" i="65" s="1"/>
  <c r="N54" i="65"/>
  <c r="L54" i="65"/>
  <c r="H54" i="65"/>
  <c r="D54" i="65"/>
  <c r="B54" i="65"/>
  <c r="Z53" i="65"/>
  <c r="X53" i="65"/>
  <c r="N53" i="65"/>
  <c r="L53" i="65"/>
  <c r="B53" i="65"/>
  <c r="Z52" i="65"/>
  <c r="X52" i="65"/>
  <c r="V52" i="65"/>
  <c r="N52" i="65"/>
  <c r="L52" i="65"/>
  <c r="J52" i="65"/>
  <c r="B52" i="65"/>
  <c r="Z51" i="65"/>
  <c r="X51" i="65"/>
  <c r="T51" i="65"/>
  <c r="P51" i="65"/>
  <c r="H51" i="65"/>
  <c r="N51" i="65" s="1"/>
  <c r="D51" i="65"/>
  <c r="L51" i="65" s="1"/>
  <c r="B51" i="65"/>
  <c r="Z50" i="65"/>
  <c r="X50" i="65"/>
  <c r="N50" i="65"/>
  <c r="L50" i="65"/>
  <c r="B50" i="65"/>
  <c r="V49" i="65"/>
  <c r="T49" i="65"/>
  <c r="Z49" i="65" s="1"/>
  <c r="P49" i="65"/>
  <c r="N49" i="65"/>
  <c r="L49" i="65"/>
  <c r="H49" i="65"/>
  <c r="D49" i="65"/>
  <c r="B49" i="65"/>
  <c r="Z48" i="65"/>
  <c r="X48" i="65"/>
  <c r="V48" i="65"/>
  <c r="N48" i="65"/>
  <c r="L48" i="65"/>
  <c r="B48" i="65"/>
  <c r="X47" i="65"/>
  <c r="V47" i="65"/>
  <c r="T47" i="65"/>
  <c r="Z47" i="65" s="1"/>
  <c r="R47" i="65"/>
  <c r="P47" i="65"/>
  <c r="L47" i="65"/>
  <c r="H47" i="65"/>
  <c r="N47" i="65" s="1"/>
  <c r="D47" i="65"/>
  <c r="B47" i="65"/>
  <c r="Z46" i="65"/>
  <c r="X46" i="65"/>
  <c r="N46" i="65"/>
  <c r="L46" i="65"/>
  <c r="B46" i="65"/>
  <c r="T45" i="65"/>
  <c r="Z45" i="65" s="1"/>
  <c r="R45" i="65"/>
  <c r="P45" i="65"/>
  <c r="N45" i="65"/>
  <c r="H45" i="65"/>
  <c r="D45" i="65"/>
  <c r="L45" i="65" s="1"/>
  <c r="B45" i="65"/>
  <c r="Z44" i="65"/>
  <c r="X44" i="65"/>
  <c r="R44" i="65"/>
  <c r="N44" i="65"/>
  <c r="L44" i="65"/>
  <c r="B44" i="65"/>
  <c r="Z43" i="65"/>
  <c r="X43" i="65"/>
  <c r="T43" i="65"/>
  <c r="P43" i="65"/>
  <c r="N43" i="65"/>
  <c r="J43" i="65"/>
  <c r="H43" i="65"/>
  <c r="D43" i="65"/>
  <c r="L43" i="65" s="1"/>
  <c r="B43" i="65"/>
  <c r="Z42" i="65"/>
  <c r="X42" i="65"/>
  <c r="N42" i="65"/>
  <c r="L42" i="65"/>
  <c r="B42" i="65"/>
  <c r="V41" i="65"/>
  <c r="T41" i="65"/>
  <c r="P41" i="65"/>
  <c r="L41" i="65"/>
  <c r="H41" i="65"/>
  <c r="N41" i="65" s="1"/>
  <c r="D41" i="65"/>
  <c r="B41" i="65"/>
  <c r="Z40" i="65"/>
  <c r="X40" i="65"/>
  <c r="V40" i="65"/>
  <c r="N40" i="65"/>
  <c r="L40" i="65"/>
  <c r="B40" i="65"/>
  <c r="Z39" i="65"/>
  <c r="X39" i="65"/>
  <c r="N39" i="65"/>
  <c r="L39" i="65"/>
  <c r="B39" i="65"/>
  <c r="Z38" i="65"/>
  <c r="X38" i="65"/>
  <c r="R38" i="65"/>
  <c r="N38" i="65"/>
  <c r="L38" i="65"/>
  <c r="B38" i="65"/>
  <c r="Z37" i="65"/>
  <c r="X37" i="65"/>
  <c r="N37" i="65"/>
  <c r="L37" i="65"/>
  <c r="J37" i="65"/>
  <c r="B37" i="65"/>
  <c r="Z36" i="65"/>
  <c r="X36" i="65"/>
  <c r="V36" i="65"/>
  <c r="N36" i="65"/>
  <c r="L36" i="65"/>
  <c r="B36" i="65"/>
  <c r="Z35" i="65"/>
  <c r="X35" i="65"/>
  <c r="R35" i="65"/>
  <c r="N35" i="65"/>
  <c r="L35" i="65"/>
  <c r="B35" i="65"/>
  <c r="Z34" i="65"/>
  <c r="X34" i="65"/>
  <c r="N34" i="65"/>
  <c r="L34" i="65"/>
  <c r="B34" i="65"/>
  <c r="Z33" i="65"/>
  <c r="X33" i="65"/>
  <c r="R33" i="65"/>
  <c r="N33" i="65"/>
  <c r="L33" i="65"/>
  <c r="B33" i="65"/>
  <c r="Z32" i="65"/>
  <c r="X32" i="65"/>
  <c r="V32" i="65"/>
  <c r="N32" i="65"/>
  <c r="L32" i="65"/>
  <c r="B32" i="65"/>
  <c r="Z31" i="65"/>
  <c r="X31" i="65"/>
  <c r="N31" i="65"/>
  <c r="L31" i="65"/>
  <c r="B31" i="65"/>
  <c r="T30" i="65"/>
  <c r="P30" i="65"/>
  <c r="N30" i="65"/>
  <c r="L30" i="65"/>
  <c r="H30" i="65"/>
  <c r="D30" i="65"/>
  <c r="B30" i="65"/>
  <c r="Z29" i="65"/>
  <c r="X29" i="65"/>
  <c r="V29" i="65"/>
  <c r="R29" i="65"/>
  <c r="N29" i="65"/>
  <c r="L29" i="65"/>
  <c r="B29" i="65"/>
  <c r="Z28" i="65"/>
  <c r="X28" i="65"/>
  <c r="V28" i="65"/>
  <c r="N28" i="65"/>
  <c r="L28" i="65"/>
  <c r="J28" i="65"/>
  <c r="B28" i="65"/>
  <c r="Z27" i="65"/>
  <c r="X27" i="65"/>
  <c r="N27" i="65"/>
  <c r="L27" i="65"/>
  <c r="B27" i="65"/>
  <c r="Z26" i="65"/>
  <c r="X26" i="65"/>
  <c r="V26" i="65"/>
  <c r="R26" i="65"/>
  <c r="N26" i="65"/>
  <c r="L26" i="65"/>
  <c r="B26" i="65"/>
  <c r="Z25" i="65"/>
  <c r="X25" i="65"/>
  <c r="V25" i="65"/>
  <c r="N25" i="65"/>
  <c r="L25" i="65"/>
  <c r="B25" i="65"/>
  <c r="Z24" i="65"/>
  <c r="X24" i="65"/>
  <c r="R24" i="65"/>
  <c r="N24" i="65"/>
  <c r="L24" i="65"/>
  <c r="B24" i="65"/>
  <c r="Z23" i="65"/>
  <c r="X23" i="65"/>
  <c r="N23" i="65"/>
  <c r="L23" i="65"/>
  <c r="B23" i="65"/>
  <c r="Z22" i="65"/>
  <c r="X22" i="65"/>
  <c r="V22" i="65"/>
  <c r="N22" i="65"/>
  <c r="L22" i="65"/>
  <c r="B22" i="65"/>
  <c r="T21" i="65"/>
  <c r="X21" i="65" s="1"/>
  <c r="P21" i="65"/>
  <c r="N21" i="65"/>
  <c r="L21" i="65"/>
  <c r="H21" i="65"/>
  <c r="D21" i="65"/>
  <c r="B21" i="65"/>
  <c r="Z20" i="65"/>
  <c r="V20" i="65"/>
  <c r="T20" i="65"/>
  <c r="P20" i="65"/>
  <c r="X20" i="65" s="1"/>
  <c r="N20" i="65"/>
  <c r="H20" i="65"/>
  <c r="D20" i="65"/>
  <c r="L20" i="65" s="1"/>
  <c r="Z16" i="65"/>
  <c r="X16" i="65"/>
  <c r="N16" i="65"/>
  <c r="L16" i="65"/>
  <c r="B16" i="65"/>
  <c r="V15" i="65"/>
  <c r="T15" i="65"/>
  <c r="Z15" i="65" s="1"/>
  <c r="P15" i="65"/>
  <c r="L15" i="65"/>
  <c r="H15" i="65"/>
  <c r="N15" i="65" s="1"/>
  <c r="D15" i="65"/>
  <c r="P13" i="65"/>
  <c r="P12" i="65" s="1"/>
  <c r="R73" i="65" s="1"/>
  <c r="N13" i="65"/>
  <c r="D13" i="65"/>
  <c r="B13" i="65"/>
  <c r="X12" i="65"/>
  <c r="T12" i="65"/>
  <c r="H12" i="65"/>
  <c r="D6" i="65"/>
  <c r="D4" i="65"/>
  <c r="Z94" i="64"/>
  <c r="X94" i="64"/>
  <c r="N94" i="64"/>
  <c r="L94" i="64"/>
  <c r="Z90" i="64"/>
  <c r="X90" i="64"/>
  <c r="T90" i="64"/>
  <c r="P90" i="64"/>
  <c r="N90" i="64"/>
  <c r="L90" i="64"/>
  <c r="H90" i="64"/>
  <c r="D90" i="64"/>
  <c r="X88" i="64"/>
  <c r="Z88" i="64" s="1"/>
  <c r="N88" i="64"/>
  <c r="L88" i="64"/>
  <c r="B88" i="64"/>
  <c r="T87" i="64"/>
  <c r="P87" i="64"/>
  <c r="X87" i="64" s="1"/>
  <c r="L87" i="64"/>
  <c r="H87" i="64"/>
  <c r="N87" i="64" s="1"/>
  <c r="D87" i="64"/>
  <c r="B87" i="64"/>
  <c r="Z86" i="64"/>
  <c r="X86" i="64"/>
  <c r="N86" i="64"/>
  <c r="L86" i="64"/>
  <c r="B86" i="64"/>
  <c r="X85" i="64"/>
  <c r="Z85" i="64" s="1"/>
  <c r="L85" i="64"/>
  <c r="N85" i="64" s="1"/>
  <c r="J85" i="64"/>
  <c r="B85" i="64"/>
  <c r="T84" i="64"/>
  <c r="P84" i="64"/>
  <c r="J84" i="64"/>
  <c r="H84" i="64"/>
  <c r="D84" i="64"/>
  <c r="B84" i="64"/>
  <c r="X83" i="64"/>
  <c r="Z83" i="64" s="1"/>
  <c r="N83" i="64"/>
  <c r="L83" i="64"/>
  <c r="B83" i="64"/>
  <c r="Z82" i="64"/>
  <c r="X82" i="64"/>
  <c r="L82" i="64"/>
  <c r="N82" i="64" s="1"/>
  <c r="B82" i="64"/>
  <c r="Z81" i="64"/>
  <c r="X81" i="64"/>
  <c r="V81" i="64"/>
  <c r="N81" i="64"/>
  <c r="L81" i="64"/>
  <c r="B81" i="64"/>
  <c r="Z80" i="64"/>
  <c r="X80" i="64"/>
  <c r="L80" i="64"/>
  <c r="N80" i="64" s="1"/>
  <c r="J80" i="64"/>
  <c r="B80" i="64"/>
  <c r="X79" i="64"/>
  <c r="T79" i="64"/>
  <c r="P79" i="64"/>
  <c r="L79" i="64"/>
  <c r="H79" i="64"/>
  <c r="D79" i="64"/>
  <c r="B79" i="64"/>
  <c r="X78" i="64"/>
  <c r="Z78" i="64" s="1"/>
  <c r="V78" i="64"/>
  <c r="N78" i="64"/>
  <c r="L78" i="64"/>
  <c r="B78" i="64"/>
  <c r="Z77" i="64"/>
  <c r="X77" i="64"/>
  <c r="N77" i="64"/>
  <c r="L77" i="64"/>
  <c r="B77" i="64"/>
  <c r="Z76" i="64"/>
  <c r="T76" i="64"/>
  <c r="X76" i="64" s="1"/>
  <c r="P76" i="64"/>
  <c r="N76" i="64"/>
  <c r="L76" i="64"/>
  <c r="J76" i="64"/>
  <c r="H76" i="64"/>
  <c r="D76" i="64"/>
  <c r="B76" i="64"/>
  <c r="Z75" i="64"/>
  <c r="X75" i="64"/>
  <c r="L75" i="64"/>
  <c r="N75" i="64" s="1"/>
  <c r="B75" i="64"/>
  <c r="Z74" i="64"/>
  <c r="X74" i="64"/>
  <c r="N74" i="64"/>
  <c r="L74" i="64"/>
  <c r="J74" i="64"/>
  <c r="B74" i="64"/>
  <c r="Z73" i="64"/>
  <c r="X73" i="64"/>
  <c r="T73" i="64"/>
  <c r="P73" i="64"/>
  <c r="H73" i="64"/>
  <c r="D73" i="64"/>
  <c r="L73" i="64" s="1"/>
  <c r="B73" i="64"/>
  <c r="Z72" i="64"/>
  <c r="X72" i="64"/>
  <c r="N72" i="64"/>
  <c r="L72" i="64"/>
  <c r="J72" i="64"/>
  <c r="B72" i="64"/>
  <c r="T71" i="64"/>
  <c r="P71" i="64"/>
  <c r="J71" i="64"/>
  <c r="H71" i="64"/>
  <c r="N71" i="64" s="1"/>
  <c r="D71" i="64"/>
  <c r="L71" i="64" s="1"/>
  <c r="B71" i="64"/>
  <c r="X70" i="64"/>
  <c r="Z70" i="64" s="1"/>
  <c r="N70" i="64"/>
  <c r="L70" i="64"/>
  <c r="J70" i="64"/>
  <c r="B70" i="64"/>
  <c r="X69" i="64"/>
  <c r="Z69" i="64" s="1"/>
  <c r="T69" i="64"/>
  <c r="P69" i="64"/>
  <c r="H69" i="64"/>
  <c r="N69" i="64" s="1"/>
  <c r="D69" i="64"/>
  <c r="B69" i="64"/>
  <c r="Z68" i="64"/>
  <c r="X68" i="64"/>
  <c r="N68" i="64"/>
  <c r="L68" i="64"/>
  <c r="B68" i="64"/>
  <c r="T67" i="64"/>
  <c r="P67" i="64"/>
  <c r="X67" i="64" s="1"/>
  <c r="N67" i="64"/>
  <c r="H67" i="64"/>
  <c r="D67" i="64"/>
  <c r="L67" i="64" s="1"/>
  <c r="B67" i="64"/>
  <c r="Z66" i="64"/>
  <c r="X66" i="64"/>
  <c r="N66" i="64"/>
  <c r="L66" i="64"/>
  <c r="B66" i="64"/>
  <c r="X65" i="64"/>
  <c r="Z65" i="64" s="1"/>
  <c r="L65" i="64"/>
  <c r="N65" i="64" s="1"/>
  <c r="B65" i="64"/>
  <c r="T64" i="64"/>
  <c r="P64" i="64"/>
  <c r="X64" i="64" s="1"/>
  <c r="Z64" i="64" s="1"/>
  <c r="N64" i="64"/>
  <c r="L64" i="64"/>
  <c r="H64" i="64"/>
  <c r="D64" i="64"/>
  <c r="B64" i="64"/>
  <c r="X63" i="64"/>
  <c r="Z63" i="64" s="1"/>
  <c r="N63" i="64"/>
  <c r="L63" i="64"/>
  <c r="J63" i="64"/>
  <c r="B63" i="64"/>
  <c r="X62" i="64"/>
  <c r="Z62" i="64" s="1"/>
  <c r="T62" i="64"/>
  <c r="P62" i="64"/>
  <c r="J62" i="64"/>
  <c r="H62" i="64"/>
  <c r="L62" i="64" s="1"/>
  <c r="N62" i="64" s="1"/>
  <c r="D62" i="64"/>
  <c r="B62" i="64"/>
  <c r="Z61" i="64"/>
  <c r="X61" i="64"/>
  <c r="N61" i="64"/>
  <c r="L61" i="64"/>
  <c r="B61" i="64"/>
  <c r="Z60" i="64"/>
  <c r="T60" i="64"/>
  <c r="P60" i="64"/>
  <c r="X60" i="64" s="1"/>
  <c r="H60" i="64"/>
  <c r="N60" i="64" s="1"/>
  <c r="D60" i="64"/>
  <c r="B60" i="64"/>
  <c r="X59" i="64"/>
  <c r="Z59" i="64" s="1"/>
  <c r="N59" i="64"/>
  <c r="L59" i="64"/>
  <c r="B59" i="64"/>
  <c r="X58" i="64"/>
  <c r="Z58" i="64" s="1"/>
  <c r="T58" i="64"/>
  <c r="P58" i="64"/>
  <c r="H58" i="64"/>
  <c r="D58" i="64"/>
  <c r="L58" i="64" s="1"/>
  <c r="N58" i="64" s="1"/>
  <c r="B58" i="64"/>
  <c r="Z57" i="64"/>
  <c r="X57" i="64"/>
  <c r="N57" i="64"/>
  <c r="L57" i="64"/>
  <c r="B57" i="64"/>
  <c r="Z56" i="64"/>
  <c r="X56" i="64"/>
  <c r="N56" i="64"/>
  <c r="L56" i="64"/>
  <c r="J56" i="64"/>
  <c r="B56" i="64"/>
  <c r="X55" i="64"/>
  <c r="Z55" i="64" s="1"/>
  <c r="L55" i="64"/>
  <c r="N55" i="64" s="1"/>
  <c r="B55" i="64"/>
  <c r="Z54" i="64"/>
  <c r="X54" i="64"/>
  <c r="N54" i="64"/>
  <c r="L54" i="64"/>
  <c r="B54" i="64"/>
  <c r="Z53" i="64"/>
  <c r="X53" i="64"/>
  <c r="N53" i="64"/>
  <c r="L53" i="64"/>
  <c r="B53" i="64"/>
  <c r="Z52" i="64"/>
  <c r="X52" i="64"/>
  <c r="N52" i="64"/>
  <c r="L52" i="64"/>
  <c r="J52" i="64"/>
  <c r="B52" i="64"/>
  <c r="X51" i="64"/>
  <c r="Z51" i="64" s="1"/>
  <c r="L51" i="64"/>
  <c r="N51" i="64" s="1"/>
  <c r="B51" i="64"/>
  <c r="Z50" i="64"/>
  <c r="X50" i="64"/>
  <c r="N50" i="64"/>
  <c r="L50" i="64"/>
  <c r="J50" i="64"/>
  <c r="B50" i="64"/>
  <c r="Z49" i="64"/>
  <c r="X49" i="64"/>
  <c r="N49" i="64"/>
  <c r="L49" i="64"/>
  <c r="B49" i="64"/>
  <c r="X48" i="64"/>
  <c r="Z48" i="64" s="1"/>
  <c r="N48" i="64"/>
  <c r="L48" i="64"/>
  <c r="B48" i="64"/>
  <c r="X47" i="64"/>
  <c r="T47" i="64"/>
  <c r="P47" i="64"/>
  <c r="H47" i="64"/>
  <c r="D47" i="64"/>
  <c r="L47" i="64" s="1"/>
  <c r="N47" i="64" s="1"/>
  <c r="B47" i="64"/>
  <c r="Z46" i="64"/>
  <c r="X46" i="64"/>
  <c r="N46" i="64"/>
  <c r="L46" i="64"/>
  <c r="J46" i="64"/>
  <c r="B46" i="64"/>
  <c r="X45" i="64"/>
  <c r="Z45" i="64" s="1"/>
  <c r="L45" i="64"/>
  <c r="N45" i="64" s="1"/>
  <c r="B45" i="64"/>
  <c r="Z44" i="64"/>
  <c r="X44" i="64"/>
  <c r="N44" i="64"/>
  <c r="L44" i="64"/>
  <c r="J44" i="64"/>
  <c r="B44" i="64"/>
  <c r="Z43" i="64"/>
  <c r="X43" i="64"/>
  <c r="L43" i="64"/>
  <c r="N43" i="64" s="1"/>
  <c r="B43" i="64"/>
  <c r="Z42" i="64"/>
  <c r="X42" i="64"/>
  <c r="N42" i="64"/>
  <c r="L42" i="64"/>
  <c r="J42" i="64"/>
  <c r="B42" i="64"/>
  <c r="Z41" i="64"/>
  <c r="X41" i="64"/>
  <c r="L41" i="64"/>
  <c r="N41" i="64" s="1"/>
  <c r="J41" i="64"/>
  <c r="B41" i="64"/>
  <c r="Z40" i="64"/>
  <c r="X40" i="64"/>
  <c r="N40" i="64"/>
  <c r="L40" i="64"/>
  <c r="J40" i="64"/>
  <c r="B40" i="64"/>
  <c r="X39" i="64"/>
  <c r="Z39" i="64" s="1"/>
  <c r="L39" i="64"/>
  <c r="N39" i="64" s="1"/>
  <c r="B39" i="64"/>
  <c r="T38" i="64"/>
  <c r="P38" i="64"/>
  <c r="N38" i="64"/>
  <c r="H38" i="64"/>
  <c r="L38" i="64" s="1"/>
  <c r="D38" i="64"/>
  <c r="B38" i="64"/>
  <c r="X37" i="64"/>
  <c r="T37" i="64"/>
  <c r="P37" i="64"/>
  <c r="H37" i="64"/>
  <c r="L37" i="64" s="1"/>
  <c r="N37" i="64" s="1"/>
  <c r="D37" i="64"/>
  <c r="Z33" i="64"/>
  <c r="X33" i="64"/>
  <c r="N33" i="64"/>
  <c r="L33" i="64"/>
  <c r="J33" i="64"/>
  <c r="B33" i="64"/>
  <c r="Z32" i="64"/>
  <c r="X32" i="64"/>
  <c r="N32" i="64"/>
  <c r="L32" i="64"/>
  <c r="B32" i="64"/>
  <c r="Z31" i="64"/>
  <c r="X31" i="64"/>
  <c r="N31" i="64"/>
  <c r="L31" i="64"/>
  <c r="J31" i="64"/>
  <c r="B31" i="64"/>
  <c r="Z30" i="64"/>
  <c r="X30" i="64"/>
  <c r="N30" i="64"/>
  <c r="L30" i="64"/>
  <c r="B30" i="64"/>
  <c r="Z29" i="64"/>
  <c r="X29" i="64"/>
  <c r="N29" i="64"/>
  <c r="L29" i="64"/>
  <c r="J29" i="64"/>
  <c r="B29" i="64"/>
  <c r="Z28" i="64"/>
  <c r="X28" i="64"/>
  <c r="N28" i="64"/>
  <c r="L28" i="64"/>
  <c r="B28" i="64"/>
  <c r="Z27" i="64"/>
  <c r="X27" i="64"/>
  <c r="N27" i="64"/>
  <c r="L27" i="64"/>
  <c r="J27" i="64"/>
  <c r="B27" i="64"/>
  <c r="X26" i="64"/>
  <c r="Z26" i="64" s="1"/>
  <c r="N26" i="64"/>
  <c r="L26" i="64"/>
  <c r="B26" i="64"/>
  <c r="T25" i="64"/>
  <c r="P25" i="64"/>
  <c r="X25" i="64" s="1"/>
  <c r="Z25" i="64" s="1"/>
  <c r="L25" i="64"/>
  <c r="N25" i="64" s="1"/>
  <c r="J25" i="64"/>
  <c r="H25" i="64"/>
  <c r="D25" i="64"/>
  <c r="Z23" i="64"/>
  <c r="P23" i="64"/>
  <c r="X23" i="64" s="1"/>
  <c r="N23" i="64"/>
  <c r="L23" i="64"/>
  <c r="D23" i="64"/>
  <c r="B23" i="64"/>
  <c r="Z22" i="64"/>
  <c r="X22" i="64"/>
  <c r="P22" i="64"/>
  <c r="N22" i="64"/>
  <c r="D22" i="64"/>
  <c r="L22" i="64" s="1"/>
  <c r="B22" i="64"/>
  <c r="Z21" i="64"/>
  <c r="P21" i="64"/>
  <c r="X21" i="64" s="1"/>
  <c r="N21" i="64"/>
  <c r="D21" i="64"/>
  <c r="L21" i="64" s="1"/>
  <c r="B21" i="64"/>
  <c r="X20" i="64"/>
  <c r="Z20" i="64" s="1"/>
  <c r="P20" i="64"/>
  <c r="D20" i="64"/>
  <c r="L20" i="64" s="1"/>
  <c r="N20" i="64" s="1"/>
  <c r="B20" i="64"/>
  <c r="Z19" i="64"/>
  <c r="X19" i="64"/>
  <c r="P19" i="64"/>
  <c r="N19" i="64"/>
  <c r="L19" i="64"/>
  <c r="D19" i="64"/>
  <c r="B19" i="64"/>
  <c r="Z18" i="64"/>
  <c r="X18" i="64"/>
  <c r="P18" i="64"/>
  <c r="N18" i="64"/>
  <c r="D18" i="64"/>
  <c r="L18" i="64" s="1"/>
  <c r="B18" i="64"/>
  <c r="Z17" i="64"/>
  <c r="X17" i="64"/>
  <c r="P17" i="64"/>
  <c r="N17" i="64"/>
  <c r="L17" i="64"/>
  <c r="D17" i="64"/>
  <c r="B17" i="64"/>
  <c r="Z16" i="64"/>
  <c r="X16" i="64"/>
  <c r="P16" i="64"/>
  <c r="N16" i="64"/>
  <c r="L16" i="64"/>
  <c r="D16" i="64"/>
  <c r="B16" i="64"/>
  <c r="Z15" i="64"/>
  <c r="P15" i="64"/>
  <c r="N15" i="64"/>
  <c r="L15" i="64"/>
  <c r="D15" i="64"/>
  <c r="B15" i="64"/>
  <c r="Z14" i="64"/>
  <c r="X14" i="64"/>
  <c r="P14" i="64"/>
  <c r="N14" i="64"/>
  <c r="D14" i="64"/>
  <c r="B14" i="64"/>
  <c r="Z13" i="64"/>
  <c r="P13" i="64"/>
  <c r="X13" i="64" s="1"/>
  <c r="N13" i="64"/>
  <c r="L13" i="64"/>
  <c r="D13" i="64"/>
  <c r="B13" i="64"/>
  <c r="T12" i="64"/>
  <c r="V39" i="64" s="1"/>
  <c r="H12" i="64"/>
  <c r="D6" i="64"/>
  <c r="D4" i="64"/>
  <c r="J107" i="62"/>
  <c r="J104" i="62"/>
  <c r="Z102" i="62"/>
  <c r="X102" i="62"/>
  <c r="N102" i="62"/>
  <c r="L102" i="62"/>
  <c r="J102" i="62"/>
  <c r="P98" i="62"/>
  <c r="P96" i="62" s="1"/>
  <c r="X96" i="62" s="1"/>
  <c r="Z96" i="62" s="1"/>
  <c r="D98" i="62"/>
  <c r="L98" i="62" s="1"/>
  <c r="N98" i="62" s="1"/>
  <c r="B98" i="62"/>
  <c r="X97" i="62"/>
  <c r="Z97" i="62" s="1"/>
  <c r="R97" i="62"/>
  <c r="P97" i="62"/>
  <c r="J97" i="62"/>
  <c r="D97" i="62"/>
  <c r="L97" i="62" s="1"/>
  <c r="N97" i="62" s="1"/>
  <c r="B97" i="62"/>
  <c r="V96" i="62"/>
  <c r="T96" i="62"/>
  <c r="R96" i="62"/>
  <c r="J96" i="62"/>
  <c r="H96" i="62"/>
  <c r="Z94" i="62"/>
  <c r="X94" i="62"/>
  <c r="V94" i="62"/>
  <c r="N94" i="62"/>
  <c r="L94" i="62"/>
  <c r="J94" i="62"/>
  <c r="B94" i="62"/>
  <c r="T93" i="62"/>
  <c r="P93" i="62"/>
  <c r="L93" i="62"/>
  <c r="H93" i="62"/>
  <c r="N93" i="62" s="1"/>
  <c r="D93" i="62"/>
  <c r="B93" i="62"/>
  <c r="Z92" i="62"/>
  <c r="X92" i="62"/>
  <c r="V92" i="62"/>
  <c r="N92" i="62"/>
  <c r="L92" i="62"/>
  <c r="J92" i="62"/>
  <c r="B92" i="62"/>
  <c r="Z91" i="62"/>
  <c r="X91" i="62"/>
  <c r="N91" i="62"/>
  <c r="L91" i="62"/>
  <c r="B91" i="62"/>
  <c r="Z90" i="62"/>
  <c r="T90" i="62"/>
  <c r="R90" i="62"/>
  <c r="P90" i="62"/>
  <c r="X90" i="62" s="1"/>
  <c r="N90" i="62"/>
  <c r="L90" i="62"/>
  <c r="J90" i="62"/>
  <c r="H90" i="62"/>
  <c r="D90" i="62"/>
  <c r="B90" i="62"/>
  <c r="X89" i="62"/>
  <c r="Z89" i="62" s="1"/>
  <c r="R89" i="62"/>
  <c r="N89" i="62"/>
  <c r="L89" i="62"/>
  <c r="J89" i="62"/>
  <c r="B89" i="62"/>
  <c r="Z88" i="62"/>
  <c r="X88" i="62"/>
  <c r="T88" i="62"/>
  <c r="P88" i="62"/>
  <c r="H88" i="62"/>
  <c r="F88" i="62"/>
  <c r="D88" i="62"/>
  <c r="B88" i="62"/>
  <c r="X87" i="62"/>
  <c r="Z87" i="62" s="1"/>
  <c r="L87" i="62"/>
  <c r="N87" i="62" s="1"/>
  <c r="B87" i="62"/>
  <c r="Z86" i="62"/>
  <c r="X86" i="62"/>
  <c r="V86" i="62"/>
  <c r="T86" i="62"/>
  <c r="R86" i="62"/>
  <c r="P86" i="62"/>
  <c r="J86" i="62"/>
  <c r="H86" i="62"/>
  <c r="D86" i="62"/>
  <c r="L86" i="62" s="1"/>
  <c r="N86" i="62" s="1"/>
  <c r="B86" i="62"/>
  <c r="X85" i="62"/>
  <c r="Z85" i="62" s="1"/>
  <c r="R85" i="62"/>
  <c r="L85" i="62"/>
  <c r="N85" i="62" s="1"/>
  <c r="B85" i="62"/>
  <c r="X84" i="62"/>
  <c r="Z84" i="62" s="1"/>
  <c r="N84" i="62"/>
  <c r="L84" i="62"/>
  <c r="J84" i="62"/>
  <c r="B84" i="62"/>
  <c r="Z83" i="62"/>
  <c r="X83" i="62"/>
  <c r="N83" i="62"/>
  <c r="L83" i="62"/>
  <c r="B83" i="62"/>
  <c r="Z82" i="62"/>
  <c r="X82" i="62"/>
  <c r="N82" i="62"/>
  <c r="L82" i="62"/>
  <c r="F82" i="62"/>
  <c r="B82" i="62"/>
  <c r="X81" i="62"/>
  <c r="Z81" i="62" s="1"/>
  <c r="R81" i="62"/>
  <c r="L81" i="62"/>
  <c r="N81" i="62" s="1"/>
  <c r="B81" i="62"/>
  <c r="X80" i="62"/>
  <c r="Z80" i="62" s="1"/>
  <c r="N80" i="62"/>
  <c r="L80" i="62"/>
  <c r="J80" i="62"/>
  <c r="B80" i="62"/>
  <c r="X79" i="62"/>
  <c r="Z79" i="62" s="1"/>
  <c r="L79" i="62"/>
  <c r="N79" i="62" s="1"/>
  <c r="B79" i="62"/>
  <c r="T78" i="62"/>
  <c r="R78" i="62"/>
  <c r="P78" i="62"/>
  <c r="X78" i="62" s="1"/>
  <c r="Z78" i="62" s="1"/>
  <c r="L78" i="62"/>
  <c r="N78" i="62" s="1"/>
  <c r="J78" i="62"/>
  <c r="H78" i="62"/>
  <c r="D78" i="62"/>
  <c r="B78" i="62"/>
  <c r="X77" i="62"/>
  <c r="Z77" i="62" s="1"/>
  <c r="R77" i="62"/>
  <c r="N77" i="62"/>
  <c r="L77" i="62"/>
  <c r="J77" i="62"/>
  <c r="B77" i="62"/>
  <c r="Z76" i="62"/>
  <c r="X76" i="62"/>
  <c r="T76" i="62"/>
  <c r="R76" i="62"/>
  <c r="P76" i="62"/>
  <c r="H76" i="62"/>
  <c r="D76" i="62"/>
  <c r="B76" i="62"/>
  <c r="X75" i="62"/>
  <c r="Z75" i="62" s="1"/>
  <c r="R75" i="62"/>
  <c r="L75" i="62"/>
  <c r="N75" i="62" s="1"/>
  <c r="B75" i="62"/>
  <c r="Z74" i="62"/>
  <c r="X74" i="62"/>
  <c r="N74" i="62"/>
  <c r="L74" i="62"/>
  <c r="J74" i="62"/>
  <c r="B74" i="62"/>
  <c r="Z73" i="62"/>
  <c r="X73" i="62"/>
  <c r="V73" i="62"/>
  <c r="R73" i="62"/>
  <c r="L73" i="62"/>
  <c r="N73" i="62" s="1"/>
  <c r="B73" i="62"/>
  <c r="T72" i="62"/>
  <c r="P72" i="62"/>
  <c r="X72" i="62" s="1"/>
  <c r="Z72" i="62" s="1"/>
  <c r="J72" i="62"/>
  <c r="H72" i="62"/>
  <c r="D72" i="62"/>
  <c r="L72" i="62" s="1"/>
  <c r="N72" i="62" s="1"/>
  <c r="B72" i="62"/>
  <c r="X71" i="62"/>
  <c r="Z71" i="62" s="1"/>
  <c r="N71" i="62"/>
  <c r="L71" i="62"/>
  <c r="F71" i="62"/>
  <c r="B71" i="62"/>
  <c r="Z70" i="62"/>
  <c r="X70" i="62"/>
  <c r="N70" i="62"/>
  <c r="L70" i="62"/>
  <c r="B70" i="62"/>
  <c r="Z69" i="62"/>
  <c r="X69" i="62"/>
  <c r="R69" i="62"/>
  <c r="N69" i="62"/>
  <c r="L69" i="62"/>
  <c r="B69" i="62"/>
  <c r="X68" i="62"/>
  <c r="Z68" i="62" s="1"/>
  <c r="V68" i="62"/>
  <c r="N68" i="62"/>
  <c r="L68" i="62"/>
  <c r="J68" i="62"/>
  <c r="B68" i="62"/>
  <c r="T67" i="62"/>
  <c r="Z67" i="62" s="1"/>
  <c r="R67" i="62"/>
  <c r="P67" i="62"/>
  <c r="X67" i="62" s="1"/>
  <c r="H67" i="62"/>
  <c r="D67" i="62"/>
  <c r="B67" i="62"/>
  <c r="Z66" i="62"/>
  <c r="X66" i="62"/>
  <c r="R66" i="62"/>
  <c r="N66" i="62"/>
  <c r="L66" i="62"/>
  <c r="J66" i="62"/>
  <c r="B66" i="62"/>
  <c r="X65" i="62"/>
  <c r="T65" i="62"/>
  <c r="P65" i="62"/>
  <c r="L65" i="62"/>
  <c r="H65" i="62"/>
  <c r="N65" i="62" s="1"/>
  <c r="D65" i="62"/>
  <c r="B65" i="62"/>
  <c r="Z64" i="62"/>
  <c r="X64" i="62"/>
  <c r="V64" i="62"/>
  <c r="L64" i="62"/>
  <c r="N64" i="62" s="1"/>
  <c r="J64" i="62"/>
  <c r="B64" i="62"/>
  <c r="T63" i="62"/>
  <c r="P63" i="62"/>
  <c r="X63" i="62" s="1"/>
  <c r="J63" i="62"/>
  <c r="H63" i="62"/>
  <c r="D63" i="62"/>
  <c r="B63" i="62"/>
  <c r="Z62" i="62"/>
  <c r="X62" i="62"/>
  <c r="N62" i="62"/>
  <c r="L62" i="62"/>
  <c r="B62" i="62"/>
  <c r="X61" i="62"/>
  <c r="T61" i="62"/>
  <c r="P61" i="62"/>
  <c r="L61" i="62"/>
  <c r="J61" i="62"/>
  <c r="H61" i="62"/>
  <c r="F61" i="62"/>
  <c r="D61" i="62"/>
  <c r="B61" i="62"/>
  <c r="Z60" i="62"/>
  <c r="X60" i="62"/>
  <c r="N60" i="62"/>
  <c r="L60" i="62"/>
  <c r="J60" i="62"/>
  <c r="B60" i="62"/>
  <c r="Z59" i="62"/>
  <c r="T59" i="62"/>
  <c r="P59" i="62"/>
  <c r="X59" i="62" s="1"/>
  <c r="L59" i="62"/>
  <c r="H59" i="62"/>
  <c r="D59" i="62"/>
  <c r="B59" i="62"/>
  <c r="Z58" i="62"/>
  <c r="X58" i="62"/>
  <c r="V58" i="62"/>
  <c r="N58" i="62"/>
  <c r="L58" i="62"/>
  <c r="J58" i="62"/>
  <c r="B58" i="62"/>
  <c r="T57" i="62"/>
  <c r="P57" i="62"/>
  <c r="H57" i="62"/>
  <c r="D57" i="62"/>
  <c r="L57" i="62" s="1"/>
  <c r="B57" i="62"/>
  <c r="X56" i="62"/>
  <c r="Z56" i="62" s="1"/>
  <c r="N56" i="62"/>
  <c r="L56" i="62"/>
  <c r="J56" i="62"/>
  <c r="B56" i="62"/>
  <c r="X55" i="62"/>
  <c r="T55" i="62"/>
  <c r="R55" i="62"/>
  <c r="P55" i="62"/>
  <c r="L55" i="62"/>
  <c r="H55" i="62"/>
  <c r="D55" i="62"/>
  <c r="B55" i="62"/>
  <c r="Z54" i="62"/>
  <c r="X54" i="62"/>
  <c r="R54" i="62"/>
  <c r="N54" i="62"/>
  <c r="L54" i="62"/>
  <c r="J54" i="62"/>
  <c r="B54" i="62"/>
  <c r="T53" i="62"/>
  <c r="P53" i="62"/>
  <c r="H53" i="62"/>
  <c r="D53" i="62"/>
  <c r="B53" i="62"/>
  <c r="Z52" i="62"/>
  <c r="X52" i="62"/>
  <c r="V52" i="62"/>
  <c r="L52" i="62"/>
  <c r="N52" i="62" s="1"/>
  <c r="J52" i="62"/>
  <c r="B52" i="62"/>
  <c r="T51" i="62"/>
  <c r="P51" i="62"/>
  <c r="X51" i="62" s="1"/>
  <c r="J51" i="62"/>
  <c r="H51" i="62"/>
  <c r="D51" i="62"/>
  <c r="L51" i="62" s="1"/>
  <c r="B51" i="62"/>
  <c r="Z50" i="62"/>
  <c r="X50" i="62"/>
  <c r="V50" i="62"/>
  <c r="N50" i="62"/>
  <c r="L50" i="62"/>
  <c r="B50" i="62"/>
  <c r="Z49" i="62"/>
  <c r="X49" i="62"/>
  <c r="R49" i="62"/>
  <c r="N49" i="62"/>
  <c r="L49" i="62"/>
  <c r="F49" i="62"/>
  <c r="B49" i="62"/>
  <c r="X48" i="62"/>
  <c r="Z48" i="62" s="1"/>
  <c r="T48" i="62"/>
  <c r="R48" i="62"/>
  <c r="P48" i="62"/>
  <c r="J48" i="62"/>
  <c r="H48" i="62"/>
  <c r="F48" i="62"/>
  <c r="D48" i="62"/>
  <c r="L48" i="62" s="1"/>
  <c r="N48" i="62" s="1"/>
  <c r="B48" i="62"/>
  <c r="X47" i="62"/>
  <c r="Z47" i="62" s="1"/>
  <c r="R47" i="62"/>
  <c r="L47" i="62"/>
  <c r="N47" i="62" s="1"/>
  <c r="B47" i="62"/>
  <c r="T46" i="62"/>
  <c r="R46" i="62"/>
  <c r="P46" i="62"/>
  <c r="N46" i="62"/>
  <c r="J46" i="62"/>
  <c r="H46" i="62"/>
  <c r="D46" i="62"/>
  <c r="L46" i="62" s="1"/>
  <c r="B46" i="62"/>
  <c r="Z45" i="62"/>
  <c r="X45" i="62"/>
  <c r="R45" i="62"/>
  <c r="L45" i="62"/>
  <c r="N45" i="62" s="1"/>
  <c r="F45" i="62"/>
  <c r="B45" i="62"/>
  <c r="Z44" i="62"/>
  <c r="X44" i="62"/>
  <c r="V44" i="62"/>
  <c r="R44" i="62"/>
  <c r="L44" i="62"/>
  <c r="N44" i="62" s="1"/>
  <c r="J44" i="62"/>
  <c r="B44" i="62"/>
  <c r="T43" i="62"/>
  <c r="P43" i="62"/>
  <c r="J43" i="62"/>
  <c r="H43" i="62"/>
  <c r="D43" i="62"/>
  <c r="L43" i="62" s="1"/>
  <c r="B43" i="62"/>
  <c r="Z42" i="62"/>
  <c r="X42" i="62"/>
  <c r="V42" i="62"/>
  <c r="N42" i="62"/>
  <c r="L42" i="62"/>
  <c r="B42" i="62"/>
  <c r="T41" i="62"/>
  <c r="Z41" i="62" s="1"/>
  <c r="P41" i="62"/>
  <c r="L41" i="62"/>
  <c r="J41" i="62"/>
  <c r="H41" i="62"/>
  <c r="N41" i="62" s="1"/>
  <c r="D41" i="62"/>
  <c r="B41" i="62"/>
  <c r="Z40" i="62"/>
  <c r="X40" i="62"/>
  <c r="V40" i="62"/>
  <c r="N40" i="62"/>
  <c r="L40" i="62"/>
  <c r="J40" i="62"/>
  <c r="B40" i="62"/>
  <c r="Z39" i="62"/>
  <c r="X39" i="62"/>
  <c r="R39" i="62"/>
  <c r="N39" i="62"/>
  <c r="L39" i="62"/>
  <c r="B39" i="62"/>
  <c r="Z38" i="62"/>
  <c r="X38" i="62"/>
  <c r="R38" i="62"/>
  <c r="N38" i="62"/>
  <c r="L38" i="62"/>
  <c r="J38" i="62"/>
  <c r="B38" i="62"/>
  <c r="X37" i="62"/>
  <c r="Z37" i="62" s="1"/>
  <c r="R37" i="62"/>
  <c r="N37" i="62"/>
  <c r="L37" i="62"/>
  <c r="J37" i="62"/>
  <c r="F37" i="62"/>
  <c r="B37" i="62"/>
  <c r="Z36" i="62"/>
  <c r="X36" i="62"/>
  <c r="V36" i="62"/>
  <c r="N36" i="62"/>
  <c r="L36" i="62"/>
  <c r="J36" i="62"/>
  <c r="B36" i="62"/>
  <c r="Z35" i="62"/>
  <c r="X35" i="62"/>
  <c r="R35" i="62"/>
  <c r="N35" i="62"/>
  <c r="L35" i="62"/>
  <c r="F35" i="62"/>
  <c r="B35" i="62"/>
  <c r="Z34" i="62"/>
  <c r="X34" i="62"/>
  <c r="R34" i="62"/>
  <c r="N34" i="62"/>
  <c r="L34" i="62"/>
  <c r="J34" i="62"/>
  <c r="B34" i="62"/>
  <c r="Z33" i="62"/>
  <c r="X33" i="62"/>
  <c r="R33" i="62"/>
  <c r="N33" i="62"/>
  <c r="L33" i="62"/>
  <c r="J33" i="62"/>
  <c r="B33" i="62"/>
  <c r="Z32" i="62"/>
  <c r="X32" i="62"/>
  <c r="N32" i="62"/>
  <c r="L32" i="62"/>
  <c r="J32" i="62"/>
  <c r="B32" i="62"/>
  <c r="Z31" i="62"/>
  <c r="X31" i="62"/>
  <c r="R31" i="62"/>
  <c r="L31" i="62"/>
  <c r="N31" i="62" s="1"/>
  <c r="B31" i="62"/>
  <c r="Z30" i="62"/>
  <c r="T30" i="62"/>
  <c r="X30" i="62" s="1"/>
  <c r="R30" i="62"/>
  <c r="P30" i="62"/>
  <c r="N30" i="62"/>
  <c r="J30" i="62"/>
  <c r="H30" i="62"/>
  <c r="D30" i="62"/>
  <c r="L30" i="62" s="1"/>
  <c r="B30" i="62"/>
  <c r="Z29" i="62"/>
  <c r="X29" i="62"/>
  <c r="V29" i="62"/>
  <c r="R29" i="62"/>
  <c r="N29" i="62"/>
  <c r="L29" i="62"/>
  <c r="F29" i="62"/>
  <c r="B29" i="62"/>
  <c r="Z28" i="62"/>
  <c r="X28" i="62"/>
  <c r="V28" i="62"/>
  <c r="R28" i="62"/>
  <c r="L28" i="62"/>
  <c r="N28" i="62" s="1"/>
  <c r="J28" i="62"/>
  <c r="B28" i="62"/>
  <c r="X27" i="62"/>
  <c r="Z27" i="62" s="1"/>
  <c r="R27" i="62"/>
  <c r="L27" i="62"/>
  <c r="N27" i="62" s="1"/>
  <c r="J27" i="62"/>
  <c r="B27" i="62"/>
  <c r="Z26" i="62"/>
  <c r="X26" i="62"/>
  <c r="V26" i="62"/>
  <c r="N26" i="62"/>
  <c r="L26" i="62"/>
  <c r="J26" i="62"/>
  <c r="B26" i="62"/>
  <c r="Z25" i="62"/>
  <c r="X25" i="62"/>
  <c r="V25" i="62"/>
  <c r="R25" i="62"/>
  <c r="N25" i="62"/>
  <c r="L25" i="62"/>
  <c r="B25" i="62"/>
  <c r="Z24" i="62"/>
  <c r="X24" i="62"/>
  <c r="R24" i="62"/>
  <c r="L24" i="62"/>
  <c r="N24" i="62" s="1"/>
  <c r="J24" i="62"/>
  <c r="B24" i="62"/>
  <c r="X23" i="62"/>
  <c r="Z23" i="62" s="1"/>
  <c r="R23" i="62"/>
  <c r="L23" i="62"/>
  <c r="N23" i="62" s="1"/>
  <c r="J23" i="62"/>
  <c r="B23" i="62"/>
  <c r="Z22" i="62"/>
  <c r="X22" i="62"/>
  <c r="N22" i="62"/>
  <c r="L22" i="62"/>
  <c r="J22" i="62"/>
  <c r="B22" i="62"/>
  <c r="Z21" i="62"/>
  <c r="X21" i="62"/>
  <c r="V21" i="62"/>
  <c r="R21" i="62"/>
  <c r="L21" i="62"/>
  <c r="N21" i="62" s="1"/>
  <c r="B21" i="62"/>
  <c r="Z20" i="62"/>
  <c r="X20" i="62"/>
  <c r="V20" i="62"/>
  <c r="R20" i="62"/>
  <c r="L20" i="62"/>
  <c r="N20" i="62" s="1"/>
  <c r="J20" i="62"/>
  <c r="B20" i="62"/>
  <c r="T19" i="62"/>
  <c r="P19" i="62"/>
  <c r="X19" i="62" s="1"/>
  <c r="J19" i="62"/>
  <c r="H19" i="62"/>
  <c r="D19" i="62"/>
  <c r="B19" i="62"/>
  <c r="Z18" i="62"/>
  <c r="V18" i="62"/>
  <c r="T18" i="62"/>
  <c r="R18" i="62"/>
  <c r="P18" i="62"/>
  <c r="X18" i="62" s="1"/>
  <c r="L18" i="62"/>
  <c r="J18" i="62"/>
  <c r="H18" i="62"/>
  <c r="N18" i="62" s="1"/>
  <c r="D18" i="62"/>
  <c r="V16" i="62"/>
  <c r="R16" i="62"/>
  <c r="J16" i="62"/>
  <c r="Z14" i="62"/>
  <c r="V14" i="62"/>
  <c r="T14" i="62"/>
  <c r="R14" i="62"/>
  <c r="P14" i="62"/>
  <c r="X14" i="62" s="1"/>
  <c r="L14" i="62"/>
  <c r="J14" i="62"/>
  <c r="H14" i="62"/>
  <c r="N14" i="62" s="1"/>
  <c r="D14" i="62"/>
  <c r="Z12" i="62"/>
  <c r="T12" i="62"/>
  <c r="V76" i="62" s="1"/>
  <c r="P12" i="62"/>
  <c r="R98" i="62" s="1"/>
  <c r="N12" i="62"/>
  <c r="L12" i="62"/>
  <c r="H12" i="62"/>
  <c r="J93" i="62" s="1"/>
  <c r="D12" i="62"/>
  <c r="F79" i="62" s="1"/>
  <c r="D6" i="62"/>
  <c r="D4" i="62"/>
  <c r="V67" i="61"/>
  <c r="Z62" i="61"/>
  <c r="X62" i="61"/>
  <c r="N62" i="61"/>
  <c r="L62" i="61"/>
  <c r="J62" i="61"/>
  <c r="J60" i="61"/>
  <c r="X58" i="61"/>
  <c r="V58" i="61"/>
  <c r="T58" i="61"/>
  <c r="Z58" i="61" s="1"/>
  <c r="P58" i="61"/>
  <c r="N58" i="61"/>
  <c r="H58" i="61"/>
  <c r="D58" i="61"/>
  <c r="L58" i="61" s="1"/>
  <c r="X56" i="61"/>
  <c r="Z56" i="61" s="1"/>
  <c r="V56" i="61"/>
  <c r="N56" i="61"/>
  <c r="L56" i="61"/>
  <c r="B56" i="61"/>
  <c r="X55" i="61"/>
  <c r="Z55" i="61" s="1"/>
  <c r="V55" i="61"/>
  <c r="T55" i="61"/>
  <c r="P55" i="61"/>
  <c r="H55" i="61"/>
  <c r="N55" i="61" s="1"/>
  <c r="D55" i="61"/>
  <c r="L55" i="61" s="1"/>
  <c r="B55" i="61"/>
  <c r="Z54" i="61"/>
  <c r="X54" i="61"/>
  <c r="N54" i="61"/>
  <c r="L54" i="61"/>
  <c r="B54" i="61"/>
  <c r="X53" i="61"/>
  <c r="Z53" i="61" s="1"/>
  <c r="N53" i="61"/>
  <c r="L53" i="61"/>
  <c r="B53" i="61"/>
  <c r="Z52" i="61"/>
  <c r="V52" i="61"/>
  <c r="T52" i="61"/>
  <c r="P52" i="61"/>
  <c r="X52" i="61" s="1"/>
  <c r="L52" i="61"/>
  <c r="H52" i="61"/>
  <c r="N52" i="61" s="1"/>
  <c r="D52" i="61"/>
  <c r="B52" i="61"/>
  <c r="X51" i="61"/>
  <c r="Z51" i="61" s="1"/>
  <c r="L51" i="61"/>
  <c r="N51" i="61" s="1"/>
  <c r="J51" i="61"/>
  <c r="B51" i="61"/>
  <c r="Z50" i="61"/>
  <c r="X50" i="61"/>
  <c r="V50" i="61"/>
  <c r="T50" i="61"/>
  <c r="P50" i="61"/>
  <c r="H50" i="61"/>
  <c r="D50" i="61"/>
  <c r="B50" i="61"/>
  <c r="X49" i="61"/>
  <c r="Z49" i="61" s="1"/>
  <c r="N49" i="61"/>
  <c r="L49" i="61"/>
  <c r="B49" i="61"/>
  <c r="X48" i="61"/>
  <c r="V48" i="61"/>
  <c r="T48" i="61"/>
  <c r="Z48" i="61" s="1"/>
  <c r="P48" i="61"/>
  <c r="N48" i="61"/>
  <c r="H48" i="61"/>
  <c r="D48" i="61"/>
  <c r="L48" i="61" s="1"/>
  <c r="B48" i="61"/>
  <c r="Z47" i="61"/>
  <c r="X47" i="61"/>
  <c r="L47" i="61"/>
  <c r="N47" i="61" s="1"/>
  <c r="B47" i="61"/>
  <c r="T46" i="61"/>
  <c r="P46" i="61"/>
  <c r="J46" i="61"/>
  <c r="H46" i="61"/>
  <c r="D46" i="61"/>
  <c r="L46" i="61" s="1"/>
  <c r="N46" i="61" s="1"/>
  <c r="B46" i="61"/>
  <c r="Z45" i="61"/>
  <c r="X45" i="61"/>
  <c r="N45" i="61"/>
  <c r="L45" i="61"/>
  <c r="B45" i="61"/>
  <c r="V44" i="61"/>
  <c r="T44" i="61"/>
  <c r="Z44" i="61" s="1"/>
  <c r="P44" i="61"/>
  <c r="X44" i="61" s="1"/>
  <c r="N44" i="61"/>
  <c r="L44" i="61"/>
  <c r="H44" i="61"/>
  <c r="D44" i="61"/>
  <c r="B44" i="61"/>
  <c r="X43" i="61"/>
  <c r="Z43" i="61" s="1"/>
  <c r="N43" i="61"/>
  <c r="L43" i="61"/>
  <c r="B43" i="61"/>
  <c r="Z42" i="61"/>
  <c r="T42" i="61"/>
  <c r="P42" i="61"/>
  <c r="X42" i="61" s="1"/>
  <c r="L42" i="61"/>
  <c r="J42" i="61"/>
  <c r="H42" i="61"/>
  <c r="N42" i="61" s="1"/>
  <c r="D42" i="61"/>
  <c r="B42" i="61"/>
  <c r="X41" i="61"/>
  <c r="Z41" i="61" s="1"/>
  <c r="N41" i="61"/>
  <c r="L41" i="61"/>
  <c r="B41" i="61"/>
  <c r="Z40" i="61"/>
  <c r="X40" i="61"/>
  <c r="V40" i="61"/>
  <c r="T40" i="61"/>
  <c r="P40" i="61"/>
  <c r="H40" i="61"/>
  <c r="D40" i="61"/>
  <c r="B40" i="61"/>
  <c r="Z39" i="61"/>
  <c r="X39" i="61"/>
  <c r="N39" i="61"/>
  <c r="L39" i="61"/>
  <c r="B39" i="61"/>
  <c r="Z38" i="61"/>
  <c r="X38" i="61"/>
  <c r="N38" i="61"/>
  <c r="L38" i="61"/>
  <c r="J38" i="61"/>
  <c r="B38" i="61"/>
  <c r="Z37" i="61"/>
  <c r="X37" i="61"/>
  <c r="V37" i="61"/>
  <c r="L37" i="61"/>
  <c r="N37" i="61" s="1"/>
  <c r="B37" i="61"/>
  <c r="Z36" i="61"/>
  <c r="X36" i="61"/>
  <c r="V36" i="61"/>
  <c r="N36" i="61"/>
  <c r="L36" i="61"/>
  <c r="B36" i="61"/>
  <c r="Z35" i="61"/>
  <c r="X35" i="61"/>
  <c r="N35" i="61"/>
  <c r="L35" i="61"/>
  <c r="B35" i="61"/>
  <c r="Z34" i="61"/>
  <c r="X34" i="61"/>
  <c r="V34" i="61"/>
  <c r="N34" i="61"/>
  <c r="L34" i="61"/>
  <c r="J34" i="61"/>
  <c r="B34" i="61"/>
  <c r="Z33" i="61"/>
  <c r="X33" i="61"/>
  <c r="V33" i="61"/>
  <c r="N33" i="61"/>
  <c r="L33" i="61"/>
  <c r="B33" i="61"/>
  <c r="Z32" i="61"/>
  <c r="X32" i="61"/>
  <c r="V32" i="61"/>
  <c r="N32" i="61"/>
  <c r="L32" i="61"/>
  <c r="J32" i="61"/>
  <c r="B32" i="61"/>
  <c r="Z31" i="61"/>
  <c r="X31" i="61"/>
  <c r="V31" i="61"/>
  <c r="N31" i="61"/>
  <c r="L31" i="61"/>
  <c r="B31" i="61"/>
  <c r="Z30" i="61"/>
  <c r="X30" i="61"/>
  <c r="V30" i="61"/>
  <c r="R30" i="61"/>
  <c r="N30" i="61"/>
  <c r="L30" i="61"/>
  <c r="B30" i="61"/>
  <c r="V29" i="61"/>
  <c r="T29" i="61"/>
  <c r="P29" i="61"/>
  <c r="X29" i="61" s="1"/>
  <c r="Z29" i="61" s="1"/>
  <c r="J29" i="61"/>
  <c r="H29" i="61"/>
  <c r="D29" i="61"/>
  <c r="L29" i="61" s="1"/>
  <c r="N29" i="61" s="1"/>
  <c r="B29" i="61"/>
  <c r="X28" i="61"/>
  <c r="Z28" i="61" s="1"/>
  <c r="L28" i="61"/>
  <c r="N28" i="61" s="1"/>
  <c r="B28" i="61"/>
  <c r="Z27" i="61"/>
  <c r="X27" i="61"/>
  <c r="V27" i="61"/>
  <c r="N27" i="61"/>
  <c r="L27" i="61"/>
  <c r="J27" i="61"/>
  <c r="B27" i="61"/>
  <c r="X26" i="61"/>
  <c r="Z26" i="61" s="1"/>
  <c r="V26" i="61"/>
  <c r="L26" i="61"/>
  <c r="N26" i="61" s="1"/>
  <c r="B26" i="61"/>
  <c r="Z25" i="61"/>
  <c r="X25" i="61"/>
  <c r="V25" i="61"/>
  <c r="N25" i="61"/>
  <c r="L25" i="61"/>
  <c r="J25" i="61"/>
  <c r="B25" i="61"/>
  <c r="Z24" i="61"/>
  <c r="X24" i="61"/>
  <c r="N24" i="61"/>
  <c r="L24" i="61"/>
  <c r="B24" i="61"/>
  <c r="Z23" i="61"/>
  <c r="X23" i="61"/>
  <c r="V23" i="61"/>
  <c r="N23" i="61"/>
  <c r="L23" i="61"/>
  <c r="J23" i="61"/>
  <c r="B23" i="61"/>
  <c r="X22" i="61"/>
  <c r="Z22" i="61" s="1"/>
  <c r="V22" i="61"/>
  <c r="L22" i="61"/>
  <c r="N22" i="61" s="1"/>
  <c r="B22" i="61"/>
  <c r="Z21" i="61"/>
  <c r="X21" i="61"/>
  <c r="V21" i="61"/>
  <c r="N21" i="61"/>
  <c r="L21" i="61"/>
  <c r="J21" i="61"/>
  <c r="B21" i="61"/>
  <c r="X20" i="61"/>
  <c r="Z20" i="61" s="1"/>
  <c r="V20" i="61"/>
  <c r="L20" i="61"/>
  <c r="N20" i="61" s="1"/>
  <c r="B20" i="61"/>
  <c r="Z19" i="61"/>
  <c r="X19" i="61"/>
  <c r="V19" i="61"/>
  <c r="T19" i="61"/>
  <c r="P19" i="61"/>
  <c r="J19" i="61"/>
  <c r="H19" i="61"/>
  <c r="D19" i="61"/>
  <c r="L19" i="61" s="1"/>
  <c r="N19" i="61" s="1"/>
  <c r="B19" i="61"/>
  <c r="T18" i="61"/>
  <c r="P18" i="61"/>
  <c r="H18" i="61"/>
  <c r="D18" i="61"/>
  <c r="L18" i="61" s="1"/>
  <c r="T16" i="61"/>
  <c r="T14" i="61"/>
  <c r="P14" i="61"/>
  <c r="L14" i="61"/>
  <c r="H14" i="61"/>
  <c r="N14" i="61" s="1"/>
  <c r="D14" i="61"/>
  <c r="Z12" i="61"/>
  <c r="T12" i="61"/>
  <c r="V38" i="61" s="1"/>
  <c r="P12" i="61"/>
  <c r="H12" i="61"/>
  <c r="J53" i="61" s="1"/>
  <c r="D12" i="61"/>
  <c r="D6" i="61"/>
  <c r="D4" i="61"/>
  <c r="Z60" i="60"/>
  <c r="X60" i="60"/>
  <c r="N60" i="60"/>
  <c r="L60" i="60"/>
  <c r="T56" i="60"/>
  <c r="Z56" i="60" s="1"/>
  <c r="P56" i="60"/>
  <c r="X56" i="60" s="1"/>
  <c r="H56" i="60"/>
  <c r="N56" i="60" s="1"/>
  <c r="D56" i="60"/>
  <c r="X54" i="60"/>
  <c r="Z54" i="60" s="1"/>
  <c r="L54" i="60"/>
  <c r="N54" i="60" s="1"/>
  <c r="B54" i="60"/>
  <c r="V53" i="60"/>
  <c r="T53" i="60"/>
  <c r="X53" i="60" s="1"/>
  <c r="Z53" i="60" s="1"/>
  <c r="R53" i="60"/>
  <c r="P53" i="60"/>
  <c r="J53" i="60"/>
  <c r="H53" i="60"/>
  <c r="L53" i="60" s="1"/>
  <c r="N53" i="60" s="1"/>
  <c r="F53" i="60"/>
  <c r="D53" i="60"/>
  <c r="B53" i="60"/>
  <c r="X52" i="60"/>
  <c r="Z52" i="60" s="1"/>
  <c r="N52" i="60"/>
  <c r="L52" i="60"/>
  <c r="F52" i="60"/>
  <c r="B52" i="60"/>
  <c r="Z51" i="60"/>
  <c r="X51" i="60"/>
  <c r="V51" i="60"/>
  <c r="N51" i="60"/>
  <c r="L51" i="60"/>
  <c r="J51" i="60"/>
  <c r="B51" i="60"/>
  <c r="Z50" i="60"/>
  <c r="X50" i="60"/>
  <c r="N50" i="60"/>
  <c r="L50" i="60"/>
  <c r="B50" i="60"/>
  <c r="V49" i="60"/>
  <c r="T49" i="60"/>
  <c r="P49" i="60"/>
  <c r="X49" i="60" s="1"/>
  <c r="Z49" i="60" s="1"/>
  <c r="N49" i="60"/>
  <c r="J49" i="60"/>
  <c r="H49" i="60"/>
  <c r="D49" i="60"/>
  <c r="L49" i="60" s="1"/>
  <c r="B49" i="60"/>
  <c r="X48" i="60"/>
  <c r="Z48" i="60" s="1"/>
  <c r="L48" i="60"/>
  <c r="N48" i="60" s="1"/>
  <c r="F48" i="60"/>
  <c r="B48" i="60"/>
  <c r="V47" i="60"/>
  <c r="T47" i="60"/>
  <c r="P47" i="60"/>
  <c r="X47" i="60" s="1"/>
  <c r="Z47" i="60" s="1"/>
  <c r="N47" i="60"/>
  <c r="L47" i="60"/>
  <c r="J47" i="60"/>
  <c r="H47" i="60"/>
  <c r="F47" i="60"/>
  <c r="D47" i="60"/>
  <c r="B47" i="60"/>
  <c r="Z46" i="60"/>
  <c r="X46" i="60"/>
  <c r="N46" i="60"/>
  <c r="L46" i="60"/>
  <c r="F46" i="60"/>
  <c r="B46" i="60"/>
  <c r="Z45" i="60"/>
  <c r="X45" i="60"/>
  <c r="V45" i="60"/>
  <c r="N45" i="60"/>
  <c r="L45" i="60"/>
  <c r="J45" i="60"/>
  <c r="B45" i="60"/>
  <c r="X44" i="60"/>
  <c r="T44" i="60"/>
  <c r="P44" i="60"/>
  <c r="H44" i="60"/>
  <c r="D44" i="60"/>
  <c r="L44" i="60" s="1"/>
  <c r="B44" i="60"/>
  <c r="Z43" i="60"/>
  <c r="X43" i="60"/>
  <c r="V43" i="60"/>
  <c r="N43" i="60"/>
  <c r="L43" i="60"/>
  <c r="J43" i="60"/>
  <c r="B43" i="60"/>
  <c r="T42" i="60"/>
  <c r="P42" i="60"/>
  <c r="X42" i="60" s="1"/>
  <c r="H42" i="60"/>
  <c r="D42" i="60"/>
  <c r="B42" i="60"/>
  <c r="Z41" i="60"/>
  <c r="X41" i="60"/>
  <c r="V41" i="60"/>
  <c r="N41" i="60"/>
  <c r="L41" i="60"/>
  <c r="J41" i="60"/>
  <c r="B41" i="60"/>
  <c r="T40" i="60"/>
  <c r="P40" i="60"/>
  <c r="X40" i="60" s="1"/>
  <c r="L40" i="60"/>
  <c r="H40" i="60"/>
  <c r="N40" i="60" s="1"/>
  <c r="D40" i="60"/>
  <c r="B40" i="60"/>
  <c r="Z39" i="60"/>
  <c r="X39" i="60"/>
  <c r="V39" i="60"/>
  <c r="N39" i="60"/>
  <c r="L39" i="60"/>
  <c r="J39" i="60"/>
  <c r="B39" i="60"/>
  <c r="Z38" i="60"/>
  <c r="X38" i="60"/>
  <c r="N38" i="60"/>
  <c r="L38" i="60"/>
  <c r="F38" i="60"/>
  <c r="B38" i="60"/>
  <c r="Z37" i="60"/>
  <c r="X37" i="60"/>
  <c r="V37" i="60"/>
  <c r="N37" i="60"/>
  <c r="L37" i="60"/>
  <c r="J37" i="60"/>
  <c r="B37" i="60"/>
  <c r="Z36" i="60"/>
  <c r="X36" i="60"/>
  <c r="V36" i="60"/>
  <c r="N36" i="60"/>
  <c r="L36" i="60"/>
  <c r="B36" i="60"/>
  <c r="Z35" i="60"/>
  <c r="X35" i="60"/>
  <c r="V35" i="60"/>
  <c r="N35" i="60"/>
  <c r="L35" i="60"/>
  <c r="J35" i="60"/>
  <c r="B35" i="60"/>
  <c r="Z34" i="60"/>
  <c r="X34" i="60"/>
  <c r="N34" i="60"/>
  <c r="L34" i="60"/>
  <c r="F34" i="60"/>
  <c r="B34" i="60"/>
  <c r="Z33" i="60"/>
  <c r="X33" i="60"/>
  <c r="V33" i="60"/>
  <c r="N33" i="60"/>
  <c r="L33" i="60"/>
  <c r="J33" i="60"/>
  <c r="B33" i="60"/>
  <c r="Z32" i="60"/>
  <c r="X32" i="60"/>
  <c r="V32" i="60"/>
  <c r="R32" i="60"/>
  <c r="N32" i="60"/>
  <c r="L32" i="60"/>
  <c r="B32" i="60"/>
  <c r="Z31" i="60"/>
  <c r="X31" i="60"/>
  <c r="V31" i="60"/>
  <c r="N31" i="60"/>
  <c r="L31" i="60"/>
  <c r="J31" i="60"/>
  <c r="B31" i="60"/>
  <c r="Z30" i="60"/>
  <c r="X30" i="60"/>
  <c r="R30" i="60"/>
  <c r="N30" i="60"/>
  <c r="L30" i="60"/>
  <c r="B30" i="60"/>
  <c r="Z29" i="60"/>
  <c r="V29" i="60"/>
  <c r="T29" i="60"/>
  <c r="P29" i="60"/>
  <c r="X29" i="60" s="1"/>
  <c r="N29" i="60"/>
  <c r="J29" i="60"/>
  <c r="H29" i="60"/>
  <c r="D29" i="60"/>
  <c r="L29" i="60" s="1"/>
  <c r="B29" i="60"/>
  <c r="Z28" i="60"/>
  <c r="X28" i="60"/>
  <c r="N28" i="60"/>
  <c r="L28" i="60"/>
  <c r="B28" i="60"/>
  <c r="Z27" i="60"/>
  <c r="X27" i="60"/>
  <c r="V27" i="60"/>
  <c r="N27" i="60"/>
  <c r="L27" i="60"/>
  <c r="J27" i="60"/>
  <c r="B27" i="60"/>
  <c r="X26" i="60"/>
  <c r="Z26" i="60" s="1"/>
  <c r="V26" i="60"/>
  <c r="L26" i="60"/>
  <c r="N26" i="60" s="1"/>
  <c r="F26" i="60"/>
  <c r="B26" i="60"/>
  <c r="Z25" i="60"/>
  <c r="X25" i="60"/>
  <c r="V25" i="60"/>
  <c r="N25" i="60"/>
  <c r="L25" i="60"/>
  <c r="J25" i="60"/>
  <c r="B25" i="60"/>
  <c r="Z24" i="60"/>
  <c r="X24" i="60"/>
  <c r="N24" i="60"/>
  <c r="L24" i="60"/>
  <c r="F24" i="60"/>
  <c r="B24" i="60"/>
  <c r="Z23" i="60"/>
  <c r="X23" i="60"/>
  <c r="V23" i="60"/>
  <c r="N23" i="60"/>
  <c r="L23" i="60"/>
  <c r="J23" i="60"/>
  <c r="B23" i="60"/>
  <c r="X22" i="60"/>
  <c r="Z22" i="60" s="1"/>
  <c r="V22" i="60"/>
  <c r="L22" i="60"/>
  <c r="N22" i="60" s="1"/>
  <c r="B22" i="60"/>
  <c r="Z21" i="60"/>
  <c r="X21" i="60"/>
  <c r="V21" i="60"/>
  <c r="N21" i="60"/>
  <c r="L21" i="60"/>
  <c r="J21" i="60"/>
  <c r="B21" i="60"/>
  <c r="X20" i="60"/>
  <c r="Z20" i="60" s="1"/>
  <c r="V20" i="60"/>
  <c r="R20" i="60"/>
  <c r="L20" i="60"/>
  <c r="N20" i="60" s="1"/>
  <c r="F20" i="60"/>
  <c r="B20" i="60"/>
  <c r="Z19" i="60"/>
  <c r="X19" i="60"/>
  <c r="V19" i="60"/>
  <c r="T19" i="60"/>
  <c r="P19" i="60"/>
  <c r="N19" i="60"/>
  <c r="J19" i="60"/>
  <c r="H19" i="60"/>
  <c r="D19" i="60"/>
  <c r="L19" i="60" s="1"/>
  <c r="B19" i="60"/>
  <c r="X18" i="60"/>
  <c r="T18" i="60"/>
  <c r="P18" i="60"/>
  <c r="J18" i="60"/>
  <c r="H18" i="60"/>
  <c r="D18" i="60"/>
  <c r="L18" i="60" s="1"/>
  <c r="T16" i="60"/>
  <c r="J16" i="60"/>
  <c r="H16" i="60"/>
  <c r="N16" i="60" s="1"/>
  <c r="X14" i="60"/>
  <c r="T14" i="60"/>
  <c r="Z14" i="60" s="1"/>
  <c r="P14" i="60"/>
  <c r="J14" i="60"/>
  <c r="H14" i="60"/>
  <c r="N14" i="60" s="1"/>
  <c r="D14" i="60"/>
  <c r="Z12" i="60"/>
  <c r="T12" i="60"/>
  <c r="V65" i="60" s="1"/>
  <c r="P12" i="60"/>
  <c r="R54" i="60" s="1"/>
  <c r="N12" i="60"/>
  <c r="L12" i="60"/>
  <c r="H12" i="60"/>
  <c r="J54" i="60" s="1"/>
  <c r="D12" i="60"/>
  <c r="F28" i="60" s="1"/>
  <c r="D6" i="60"/>
  <c r="D4" i="60"/>
  <c r="Z73" i="59"/>
  <c r="X73" i="59"/>
  <c r="N73" i="59"/>
  <c r="L73" i="59"/>
  <c r="T69" i="59"/>
  <c r="P69" i="59"/>
  <c r="H69" i="59"/>
  <c r="N69" i="59" s="1"/>
  <c r="D69" i="59"/>
  <c r="L69" i="59" s="1"/>
  <c r="X67" i="59"/>
  <c r="Z67" i="59" s="1"/>
  <c r="L67" i="59"/>
  <c r="N67" i="59" s="1"/>
  <c r="B67" i="59"/>
  <c r="Z66" i="59"/>
  <c r="T66" i="59"/>
  <c r="P66" i="59"/>
  <c r="X66" i="59" s="1"/>
  <c r="N66" i="59"/>
  <c r="L66" i="59"/>
  <c r="H66" i="59"/>
  <c r="D66" i="59"/>
  <c r="B66" i="59"/>
  <c r="Z65" i="59"/>
  <c r="X65" i="59"/>
  <c r="N65" i="59"/>
  <c r="L65" i="59"/>
  <c r="B65" i="59"/>
  <c r="Z64" i="59"/>
  <c r="T64" i="59"/>
  <c r="P64" i="59"/>
  <c r="X64" i="59" s="1"/>
  <c r="N64" i="59"/>
  <c r="H64" i="59"/>
  <c r="D64" i="59"/>
  <c r="L64" i="59" s="1"/>
  <c r="B64" i="59"/>
  <c r="X63" i="59"/>
  <c r="Z63" i="59" s="1"/>
  <c r="L63" i="59"/>
  <c r="N63" i="59" s="1"/>
  <c r="B63" i="59"/>
  <c r="Z62" i="59"/>
  <c r="X62" i="59"/>
  <c r="N62" i="59"/>
  <c r="L62" i="59"/>
  <c r="B62" i="59"/>
  <c r="X61" i="59"/>
  <c r="T61" i="59"/>
  <c r="P61" i="59"/>
  <c r="L61" i="59"/>
  <c r="H61" i="59"/>
  <c r="D61" i="59"/>
  <c r="B61" i="59"/>
  <c r="Z60" i="59"/>
  <c r="X60" i="59"/>
  <c r="N60" i="59"/>
  <c r="L60" i="59"/>
  <c r="J60" i="59"/>
  <c r="B60" i="59"/>
  <c r="X59" i="59"/>
  <c r="T59" i="59"/>
  <c r="P59" i="59"/>
  <c r="H59" i="59"/>
  <c r="D59" i="59"/>
  <c r="B59" i="59"/>
  <c r="Z58" i="59"/>
  <c r="X58" i="59"/>
  <c r="N58" i="59"/>
  <c r="L58" i="59"/>
  <c r="B58" i="59"/>
  <c r="X57" i="59"/>
  <c r="Z57" i="59" s="1"/>
  <c r="N57" i="59"/>
  <c r="L57" i="59"/>
  <c r="F57" i="59"/>
  <c r="B57" i="59"/>
  <c r="T56" i="59"/>
  <c r="P56" i="59"/>
  <c r="X56" i="59" s="1"/>
  <c r="Z56" i="59" s="1"/>
  <c r="N56" i="59"/>
  <c r="H56" i="59"/>
  <c r="F56" i="59"/>
  <c r="D56" i="59"/>
  <c r="L56" i="59" s="1"/>
  <c r="B56" i="59"/>
  <c r="X55" i="59"/>
  <c r="Z55" i="59" s="1"/>
  <c r="L55" i="59"/>
  <c r="N55" i="59" s="1"/>
  <c r="B55" i="59"/>
  <c r="Z54" i="59"/>
  <c r="X54" i="59"/>
  <c r="N54" i="59"/>
  <c r="L54" i="59"/>
  <c r="B54" i="59"/>
  <c r="X53" i="59"/>
  <c r="Z53" i="59" s="1"/>
  <c r="L53" i="59"/>
  <c r="N53" i="59" s="1"/>
  <c r="B53" i="59"/>
  <c r="T52" i="59"/>
  <c r="P52" i="59"/>
  <c r="X52" i="59" s="1"/>
  <c r="Z52" i="59" s="1"/>
  <c r="N52" i="59"/>
  <c r="J52" i="59"/>
  <c r="H52" i="59"/>
  <c r="D52" i="59"/>
  <c r="L52" i="59" s="1"/>
  <c r="B52" i="59"/>
  <c r="X51" i="59"/>
  <c r="Z51" i="59" s="1"/>
  <c r="L51" i="59"/>
  <c r="N51" i="59" s="1"/>
  <c r="B51" i="59"/>
  <c r="Z50" i="59"/>
  <c r="X50" i="59"/>
  <c r="V50" i="59"/>
  <c r="T50" i="59"/>
  <c r="P50" i="59"/>
  <c r="N50" i="59"/>
  <c r="L50" i="59"/>
  <c r="H50" i="59"/>
  <c r="D50" i="59"/>
  <c r="B50" i="59"/>
  <c r="X49" i="59"/>
  <c r="Z49" i="59" s="1"/>
  <c r="N49" i="59"/>
  <c r="L49" i="59"/>
  <c r="B49" i="59"/>
  <c r="Z48" i="59"/>
  <c r="T48" i="59"/>
  <c r="P48" i="59"/>
  <c r="X48" i="59" s="1"/>
  <c r="N48" i="59"/>
  <c r="H48" i="59"/>
  <c r="D48" i="59"/>
  <c r="L48" i="59" s="1"/>
  <c r="B48" i="59"/>
  <c r="Z47" i="59"/>
  <c r="X47" i="59"/>
  <c r="N47" i="59"/>
  <c r="L47" i="59"/>
  <c r="B47" i="59"/>
  <c r="Z46" i="59"/>
  <c r="X46" i="59"/>
  <c r="T46" i="59"/>
  <c r="P46" i="59"/>
  <c r="N46" i="59"/>
  <c r="H46" i="59"/>
  <c r="D46" i="59"/>
  <c r="L46" i="59" s="1"/>
  <c r="B46" i="59"/>
  <c r="X45" i="59"/>
  <c r="Z45" i="59" s="1"/>
  <c r="R45" i="59"/>
  <c r="N45" i="59"/>
  <c r="L45" i="59"/>
  <c r="B45" i="59"/>
  <c r="Z44" i="59"/>
  <c r="X44" i="59"/>
  <c r="N44" i="59"/>
  <c r="L44" i="59"/>
  <c r="J44" i="59"/>
  <c r="B44" i="59"/>
  <c r="X43" i="59"/>
  <c r="T43" i="59"/>
  <c r="P43" i="59"/>
  <c r="N43" i="59"/>
  <c r="L43" i="59"/>
  <c r="H43" i="59"/>
  <c r="D43" i="59"/>
  <c r="B43" i="59"/>
  <c r="Z42" i="59"/>
  <c r="X42" i="59"/>
  <c r="V42" i="59"/>
  <c r="N42" i="59"/>
  <c r="L42" i="59"/>
  <c r="J42" i="59"/>
  <c r="B42" i="59"/>
  <c r="T41" i="59"/>
  <c r="P41" i="59"/>
  <c r="X41" i="59" s="1"/>
  <c r="L41" i="59"/>
  <c r="H41" i="59"/>
  <c r="N41" i="59" s="1"/>
  <c r="D41" i="59"/>
  <c r="B41" i="59"/>
  <c r="Z40" i="59"/>
  <c r="X40" i="59"/>
  <c r="N40" i="59"/>
  <c r="L40" i="59"/>
  <c r="F40" i="59"/>
  <c r="B40" i="59"/>
  <c r="Z39" i="59"/>
  <c r="X39" i="59"/>
  <c r="V39" i="59"/>
  <c r="N39" i="59"/>
  <c r="L39" i="59"/>
  <c r="B39" i="59"/>
  <c r="Z38" i="59"/>
  <c r="X38" i="59"/>
  <c r="N38" i="59"/>
  <c r="L38" i="59"/>
  <c r="J38" i="59"/>
  <c r="B38" i="59"/>
  <c r="Z37" i="59"/>
  <c r="X37" i="59"/>
  <c r="V37" i="59"/>
  <c r="N37" i="59"/>
  <c r="L37" i="59"/>
  <c r="B37" i="59"/>
  <c r="Z36" i="59"/>
  <c r="X36" i="59"/>
  <c r="V36" i="59"/>
  <c r="N36" i="59"/>
  <c r="L36" i="59"/>
  <c r="F36" i="59"/>
  <c r="B36" i="59"/>
  <c r="Z35" i="59"/>
  <c r="X35" i="59"/>
  <c r="V35" i="59"/>
  <c r="N35" i="59"/>
  <c r="L35" i="59"/>
  <c r="B35" i="59"/>
  <c r="X34" i="59"/>
  <c r="Z34" i="59" s="1"/>
  <c r="L34" i="59"/>
  <c r="N34" i="59" s="1"/>
  <c r="J34" i="59"/>
  <c r="B34" i="59"/>
  <c r="Z33" i="59"/>
  <c r="X33" i="59"/>
  <c r="V33" i="59"/>
  <c r="N33" i="59"/>
  <c r="L33" i="59"/>
  <c r="B33" i="59"/>
  <c r="Z32" i="59"/>
  <c r="X32" i="59"/>
  <c r="V32" i="59"/>
  <c r="L32" i="59"/>
  <c r="N32" i="59" s="1"/>
  <c r="F32" i="59"/>
  <c r="B32" i="59"/>
  <c r="Z31" i="59"/>
  <c r="X31" i="59"/>
  <c r="V31" i="59"/>
  <c r="N31" i="59"/>
  <c r="L31" i="59"/>
  <c r="B31" i="59"/>
  <c r="X30" i="59"/>
  <c r="T30" i="59"/>
  <c r="Z30" i="59" s="1"/>
  <c r="P30" i="59"/>
  <c r="J30" i="59"/>
  <c r="H30" i="59"/>
  <c r="D30" i="59"/>
  <c r="L30" i="59" s="1"/>
  <c r="N30" i="59" s="1"/>
  <c r="B30" i="59"/>
  <c r="Z29" i="59"/>
  <c r="X29" i="59"/>
  <c r="V29" i="59"/>
  <c r="N29" i="59"/>
  <c r="L29" i="59"/>
  <c r="J29" i="59"/>
  <c r="B29" i="59"/>
  <c r="X28" i="59"/>
  <c r="Z28" i="59" s="1"/>
  <c r="R28" i="59"/>
  <c r="L28" i="59"/>
  <c r="N28" i="59" s="1"/>
  <c r="F28" i="59"/>
  <c r="B28" i="59"/>
  <c r="X27" i="59"/>
  <c r="Z27" i="59" s="1"/>
  <c r="N27" i="59"/>
  <c r="L27" i="59"/>
  <c r="J27" i="59"/>
  <c r="B27" i="59"/>
  <c r="Z26" i="59"/>
  <c r="X26" i="59"/>
  <c r="V26" i="59"/>
  <c r="N26" i="59"/>
  <c r="L26" i="59"/>
  <c r="F26" i="59"/>
  <c r="B26" i="59"/>
  <c r="Z25" i="59"/>
  <c r="X25" i="59"/>
  <c r="V25" i="59"/>
  <c r="N25" i="59"/>
  <c r="L25" i="59"/>
  <c r="J25" i="59"/>
  <c r="B25" i="59"/>
  <c r="X24" i="59"/>
  <c r="Z24" i="59" s="1"/>
  <c r="R24" i="59"/>
  <c r="L24" i="59"/>
  <c r="N24" i="59" s="1"/>
  <c r="F24" i="59"/>
  <c r="B24" i="59"/>
  <c r="X23" i="59"/>
  <c r="Z23" i="59" s="1"/>
  <c r="N23" i="59"/>
  <c r="L23" i="59"/>
  <c r="J23" i="59"/>
  <c r="B23" i="59"/>
  <c r="X22" i="59"/>
  <c r="Z22" i="59" s="1"/>
  <c r="V22" i="59"/>
  <c r="N22" i="59"/>
  <c r="L22" i="59"/>
  <c r="F22" i="59"/>
  <c r="B22" i="59"/>
  <c r="Z21" i="59"/>
  <c r="X21" i="59"/>
  <c r="V21" i="59"/>
  <c r="N21" i="59"/>
  <c r="L21" i="59"/>
  <c r="J21" i="59"/>
  <c r="F21" i="59"/>
  <c r="B21" i="59"/>
  <c r="X20" i="59"/>
  <c r="Z20" i="59" s="1"/>
  <c r="V20" i="59"/>
  <c r="R20" i="59"/>
  <c r="L20" i="59"/>
  <c r="N20" i="59" s="1"/>
  <c r="F20" i="59"/>
  <c r="B20" i="59"/>
  <c r="X19" i="59"/>
  <c r="Z19" i="59" s="1"/>
  <c r="T19" i="59"/>
  <c r="P19" i="59"/>
  <c r="J19" i="59"/>
  <c r="H19" i="59"/>
  <c r="F19" i="59"/>
  <c r="D19" i="59"/>
  <c r="L19" i="59" s="1"/>
  <c r="N19" i="59" s="1"/>
  <c r="B19" i="59"/>
  <c r="T18" i="59"/>
  <c r="P18" i="59"/>
  <c r="H18" i="59"/>
  <c r="N18" i="59" s="1"/>
  <c r="F18" i="59"/>
  <c r="D18" i="59"/>
  <c r="L18" i="59" s="1"/>
  <c r="F16" i="59"/>
  <c r="T14" i="59"/>
  <c r="Z14" i="59" s="1"/>
  <c r="P14" i="59"/>
  <c r="X14" i="59" s="1"/>
  <c r="H14" i="59"/>
  <c r="N14" i="59" s="1"/>
  <c r="F14" i="59"/>
  <c r="D14" i="59"/>
  <c r="L14" i="59" s="1"/>
  <c r="Z12" i="59"/>
  <c r="T12" i="59"/>
  <c r="V66" i="59" s="1"/>
  <c r="P12" i="59"/>
  <c r="R19" i="59" s="1"/>
  <c r="N12" i="59"/>
  <c r="L12" i="59"/>
  <c r="H12" i="59"/>
  <c r="J62" i="59" s="1"/>
  <c r="D12" i="59"/>
  <c r="F65" i="59" s="1"/>
  <c r="D6" i="59"/>
  <c r="D4" i="59"/>
  <c r="Z78" i="58"/>
  <c r="X78" i="58"/>
  <c r="N78" i="58"/>
  <c r="L78" i="58"/>
  <c r="F78" i="58"/>
  <c r="T74" i="58"/>
  <c r="Z74" i="58" s="1"/>
  <c r="P74" i="58"/>
  <c r="X74" i="58" s="1"/>
  <c r="H74" i="58"/>
  <c r="N74" i="58" s="1"/>
  <c r="D74" i="58"/>
  <c r="L74" i="58" s="1"/>
  <c r="Z72" i="58"/>
  <c r="X72" i="58"/>
  <c r="N72" i="58"/>
  <c r="L72" i="58"/>
  <c r="B72" i="58"/>
  <c r="Z71" i="58"/>
  <c r="V71" i="58"/>
  <c r="T71" i="58"/>
  <c r="P71" i="58"/>
  <c r="X71" i="58" s="1"/>
  <c r="N71" i="58"/>
  <c r="L71" i="58"/>
  <c r="H71" i="58"/>
  <c r="D71" i="58"/>
  <c r="B71" i="58"/>
  <c r="X70" i="58"/>
  <c r="Z70" i="58" s="1"/>
  <c r="L70" i="58"/>
  <c r="N70" i="58" s="1"/>
  <c r="B70" i="58"/>
  <c r="V69" i="58"/>
  <c r="T69" i="58"/>
  <c r="P69" i="58"/>
  <c r="X69" i="58" s="1"/>
  <c r="J69" i="58"/>
  <c r="H69" i="58"/>
  <c r="D69" i="58"/>
  <c r="L69" i="58" s="1"/>
  <c r="B69" i="58"/>
  <c r="X68" i="58"/>
  <c r="Z68" i="58" s="1"/>
  <c r="L68" i="58"/>
  <c r="N68" i="58" s="1"/>
  <c r="F68" i="58"/>
  <c r="B68" i="58"/>
  <c r="Z67" i="58"/>
  <c r="X67" i="58"/>
  <c r="T67" i="58"/>
  <c r="R67" i="58"/>
  <c r="P67" i="58"/>
  <c r="N67" i="58"/>
  <c r="H67" i="58"/>
  <c r="F67" i="58"/>
  <c r="D67" i="58"/>
  <c r="L67" i="58" s="1"/>
  <c r="B67" i="58"/>
  <c r="Z66" i="58"/>
  <c r="X66" i="58"/>
  <c r="L66" i="58"/>
  <c r="N66" i="58" s="1"/>
  <c r="B66" i="58"/>
  <c r="Z65" i="58"/>
  <c r="X65" i="58"/>
  <c r="L65" i="58"/>
  <c r="N65" i="58" s="1"/>
  <c r="J65" i="58"/>
  <c r="B65" i="58"/>
  <c r="X64" i="58"/>
  <c r="Z64" i="58" s="1"/>
  <c r="L64" i="58"/>
  <c r="N64" i="58" s="1"/>
  <c r="B64" i="58"/>
  <c r="V63" i="58"/>
  <c r="T63" i="58"/>
  <c r="P63" i="58"/>
  <c r="X63" i="58" s="1"/>
  <c r="Z63" i="58" s="1"/>
  <c r="N63" i="58"/>
  <c r="L63" i="58"/>
  <c r="H63" i="58"/>
  <c r="D63" i="58"/>
  <c r="B63" i="58"/>
  <c r="X62" i="58"/>
  <c r="Z62" i="58" s="1"/>
  <c r="L62" i="58"/>
  <c r="N62" i="58" s="1"/>
  <c r="B62" i="58"/>
  <c r="X61" i="58"/>
  <c r="V61" i="58"/>
  <c r="T61" i="58"/>
  <c r="Z61" i="58" s="1"/>
  <c r="R61" i="58"/>
  <c r="P61" i="58"/>
  <c r="J61" i="58"/>
  <c r="H61" i="58"/>
  <c r="N61" i="58" s="1"/>
  <c r="D61" i="58"/>
  <c r="L61" i="58" s="1"/>
  <c r="B61" i="58"/>
  <c r="Z60" i="58"/>
  <c r="X60" i="58"/>
  <c r="N60" i="58"/>
  <c r="L60" i="58"/>
  <c r="F60" i="58"/>
  <c r="B60" i="58"/>
  <c r="Z59" i="58"/>
  <c r="X59" i="58"/>
  <c r="N59" i="58"/>
  <c r="L59" i="58"/>
  <c r="J59" i="58"/>
  <c r="B59" i="58"/>
  <c r="X58" i="58"/>
  <c r="T58" i="58"/>
  <c r="Z58" i="58" s="1"/>
  <c r="P58" i="58"/>
  <c r="H58" i="58"/>
  <c r="D58" i="58"/>
  <c r="B58" i="58"/>
  <c r="Z57" i="58"/>
  <c r="X57" i="58"/>
  <c r="L57" i="58"/>
  <c r="N57" i="58" s="1"/>
  <c r="J57" i="58"/>
  <c r="B57" i="58"/>
  <c r="X56" i="58"/>
  <c r="Z56" i="58" s="1"/>
  <c r="L56" i="58"/>
  <c r="N56" i="58" s="1"/>
  <c r="B56" i="58"/>
  <c r="Z55" i="58"/>
  <c r="X55" i="58"/>
  <c r="V55" i="58"/>
  <c r="N55" i="58"/>
  <c r="L55" i="58"/>
  <c r="J55" i="58"/>
  <c r="B55" i="58"/>
  <c r="T54" i="58"/>
  <c r="P54" i="58"/>
  <c r="X54" i="58" s="1"/>
  <c r="H54" i="58"/>
  <c r="D54" i="58"/>
  <c r="L54" i="58" s="1"/>
  <c r="B54" i="58"/>
  <c r="X53" i="58"/>
  <c r="Z53" i="58" s="1"/>
  <c r="V53" i="58"/>
  <c r="N53" i="58"/>
  <c r="L53" i="58"/>
  <c r="B53" i="58"/>
  <c r="X52" i="58"/>
  <c r="Z52" i="58" s="1"/>
  <c r="N52" i="58"/>
  <c r="L52" i="58"/>
  <c r="F52" i="58"/>
  <c r="B52" i="58"/>
  <c r="V51" i="58"/>
  <c r="T51" i="58"/>
  <c r="P51" i="58"/>
  <c r="X51" i="58" s="1"/>
  <c r="J51" i="58"/>
  <c r="H51" i="58"/>
  <c r="F51" i="58"/>
  <c r="D51" i="58"/>
  <c r="L51" i="58" s="1"/>
  <c r="B51" i="58"/>
  <c r="X50" i="58"/>
  <c r="Z50" i="58" s="1"/>
  <c r="N50" i="58"/>
  <c r="L50" i="58"/>
  <c r="F50" i="58"/>
  <c r="B50" i="58"/>
  <c r="Z49" i="58"/>
  <c r="T49" i="58"/>
  <c r="R49" i="58"/>
  <c r="P49" i="58"/>
  <c r="X49" i="58" s="1"/>
  <c r="L49" i="58"/>
  <c r="N49" i="58" s="1"/>
  <c r="H49" i="58"/>
  <c r="F49" i="58"/>
  <c r="D49" i="58"/>
  <c r="B49" i="58"/>
  <c r="Z48" i="58"/>
  <c r="X48" i="58"/>
  <c r="L48" i="58"/>
  <c r="N48" i="58" s="1"/>
  <c r="B48" i="58"/>
  <c r="V47" i="58"/>
  <c r="T47" i="58"/>
  <c r="X47" i="58" s="1"/>
  <c r="Z47" i="58" s="1"/>
  <c r="P47" i="58"/>
  <c r="N47" i="58"/>
  <c r="H47" i="58"/>
  <c r="L47" i="58" s="1"/>
  <c r="D47" i="58"/>
  <c r="B47" i="58"/>
  <c r="X46" i="58"/>
  <c r="Z46" i="58" s="1"/>
  <c r="L46" i="58"/>
  <c r="N46" i="58" s="1"/>
  <c r="B46" i="58"/>
  <c r="X45" i="58"/>
  <c r="V45" i="58"/>
  <c r="T45" i="58"/>
  <c r="Z45" i="58" s="1"/>
  <c r="R45" i="58"/>
  <c r="P45" i="58"/>
  <c r="J45" i="58"/>
  <c r="H45" i="58"/>
  <c r="D45" i="58"/>
  <c r="L45" i="58" s="1"/>
  <c r="B45" i="58"/>
  <c r="X44" i="58"/>
  <c r="Z44" i="58" s="1"/>
  <c r="N44" i="58"/>
  <c r="L44" i="58"/>
  <c r="F44" i="58"/>
  <c r="B44" i="58"/>
  <c r="X43" i="58"/>
  <c r="Z43" i="58" s="1"/>
  <c r="T43" i="58"/>
  <c r="P43" i="58"/>
  <c r="N43" i="58"/>
  <c r="H43" i="58"/>
  <c r="F43" i="58"/>
  <c r="D43" i="58"/>
  <c r="L43" i="58" s="1"/>
  <c r="B43" i="58"/>
  <c r="Z42" i="58"/>
  <c r="X42" i="58"/>
  <c r="L42" i="58"/>
  <c r="N42" i="58" s="1"/>
  <c r="B42" i="58"/>
  <c r="Z41" i="58"/>
  <c r="T41" i="58"/>
  <c r="X41" i="58" s="1"/>
  <c r="P41" i="58"/>
  <c r="N41" i="58"/>
  <c r="L41" i="58"/>
  <c r="J41" i="58"/>
  <c r="H41" i="58"/>
  <c r="D41" i="58"/>
  <c r="B41" i="58"/>
  <c r="Z40" i="58"/>
  <c r="X40" i="58"/>
  <c r="V40" i="58"/>
  <c r="N40" i="58"/>
  <c r="L40" i="58"/>
  <c r="F40" i="58"/>
  <c r="B40" i="58"/>
  <c r="Z39" i="58"/>
  <c r="X39" i="58"/>
  <c r="V39" i="58"/>
  <c r="N39" i="58"/>
  <c r="L39" i="58"/>
  <c r="B39" i="58"/>
  <c r="Z38" i="58"/>
  <c r="X38" i="58"/>
  <c r="N38" i="58"/>
  <c r="L38" i="58"/>
  <c r="B38" i="58"/>
  <c r="Z37" i="58"/>
  <c r="X37" i="58"/>
  <c r="V37" i="58"/>
  <c r="N37" i="58"/>
  <c r="L37" i="58"/>
  <c r="B37" i="58"/>
  <c r="Z36" i="58"/>
  <c r="X36" i="58"/>
  <c r="V36" i="58"/>
  <c r="N36" i="58"/>
  <c r="L36" i="58"/>
  <c r="F36" i="58"/>
  <c r="B36" i="58"/>
  <c r="X35" i="58"/>
  <c r="Z35" i="58" s="1"/>
  <c r="V35" i="58"/>
  <c r="L35" i="58"/>
  <c r="N35" i="58" s="1"/>
  <c r="B35" i="58"/>
  <c r="X34" i="58"/>
  <c r="Z34" i="58" s="1"/>
  <c r="L34" i="58"/>
  <c r="N34" i="58" s="1"/>
  <c r="B34" i="58"/>
  <c r="Z33" i="58"/>
  <c r="X33" i="58"/>
  <c r="V33" i="58"/>
  <c r="N33" i="58"/>
  <c r="L33" i="58"/>
  <c r="B33" i="58"/>
  <c r="Z32" i="58"/>
  <c r="X32" i="58"/>
  <c r="V32" i="58"/>
  <c r="N32" i="58"/>
  <c r="L32" i="58"/>
  <c r="F32" i="58"/>
  <c r="B32" i="58"/>
  <c r="X31" i="58"/>
  <c r="Z31" i="58" s="1"/>
  <c r="V31" i="58"/>
  <c r="L31" i="58"/>
  <c r="N31" i="58" s="1"/>
  <c r="B31" i="58"/>
  <c r="X30" i="58"/>
  <c r="Z30" i="58" s="1"/>
  <c r="T30" i="58"/>
  <c r="P30" i="58"/>
  <c r="J30" i="58"/>
  <c r="H30" i="58"/>
  <c r="D30" i="58"/>
  <c r="L30" i="58" s="1"/>
  <c r="N30" i="58" s="1"/>
  <c r="B30" i="58"/>
  <c r="Z29" i="58"/>
  <c r="X29" i="58"/>
  <c r="N29" i="58"/>
  <c r="L29" i="58"/>
  <c r="F29" i="58"/>
  <c r="B29" i="58"/>
  <c r="X28" i="58"/>
  <c r="Z28" i="58" s="1"/>
  <c r="N28" i="58"/>
  <c r="L28" i="58"/>
  <c r="F28" i="58"/>
  <c r="B28" i="58"/>
  <c r="X27" i="58"/>
  <c r="Z27" i="58" s="1"/>
  <c r="N27" i="58"/>
  <c r="L27" i="58"/>
  <c r="J27" i="58"/>
  <c r="B27" i="58"/>
  <c r="Z26" i="58"/>
  <c r="X26" i="58"/>
  <c r="N26" i="58"/>
  <c r="L26" i="58"/>
  <c r="F26" i="58"/>
  <c r="B26" i="58"/>
  <c r="Z25" i="58"/>
  <c r="X25" i="58"/>
  <c r="N25" i="58"/>
  <c r="L25" i="58"/>
  <c r="F25" i="58"/>
  <c r="B25" i="58"/>
  <c r="X24" i="58"/>
  <c r="Z24" i="58" s="1"/>
  <c r="R24" i="58"/>
  <c r="N24" i="58"/>
  <c r="L24" i="58"/>
  <c r="F24" i="58"/>
  <c r="B24" i="58"/>
  <c r="X23" i="58"/>
  <c r="Z23" i="58" s="1"/>
  <c r="N23" i="58"/>
  <c r="L23" i="58"/>
  <c r="J23" i="58"/>
  <c r="B23" i="58"/>
  <c r="X22" i="58"/>
  <c r="Z22" i="58" s="1"/>
  <c r="V22" i="58"/>
  <c r="N22" i="58"/>
  <c r="L22" i="58"/>
  <c r="F22" i="58"/>
  <c r="B22" i="58"/>
  <c r="Z21" i="58"/>
  <c r="X21" i="58"/>
  <c r="N21" i="58"/>
  <c r="L21" i="58"/>
  <c r="F21" i="58"/>
  <c r="B21" i="58"/>
  <c r="X20" i="58"/>
  <c r="Z20" i="58" s="1"/>
  <c r="V20" i="58"/>
  <c r="R20" i="58"/>
  <c r="N20" i="58"/>
  <c r="L20" i="58"/>
  <c r="F20" i="58"/>
  <c r="B20" i="58"/>
  <c r="X19" i="58"/>
  <c r="Z19" i="58" s="1"/>
  <c r="T19" i="58"/>
  <c r="P19" i="58"/>
  <c r="H19" i="58"/>
  <c r="F19" i="58"/>
  <c r="D19" i="58"/>
  <c r="L19" i="58" s="1"/>
  <c r="N19" i="58" s="1"/>
  <c r="B19" i="58"/>
  <c r="T18" i="58"/>
  <c r="P18" i="58"/>
  <c r="H18" i="58"/>
  <c r="F18" i="58"/>
  <c r="D18" i="58"/>
  <c r="F16" i="58"/>
  <c r="T14" i="58"/>
  <c r="P14" i="58"/>
  <c r="H14" i="58"/>
  <c r="F14" i="58"/>
  <c r="D14" i="58"/>
  <c r="D16" i="58" s="1"/>
  <c r="Z12" i="58"/>
  <c r="T12" i="58"/>
  <c r="V70" i="58" s="1"/>
  <c r="P12" i="58"/>
  <c r="R60" i="58" s="1"/>
  <c r="N12" i="58"/>
  <c r="L12" i="58"/>
  <c r="H12" i="58"/>
  <c r="J83" i="58" s="1"/>
  <c r="D12" i="58"/>
  <c r="F59" i="58" s="1"/>
  <c r="D6" i="58"/>
  <c r="D4" i="58"/>
  <c r="Z76" i="57"/>
  <c r="X76" i="57"/>
  <c r="V76" i="57"/>
  <c r="N76" i="57"/>
  <c r="L76" i="57"/>
  <c r="Z72" i="57"/>
  <c r="P72" i="57"/>
  <c r="X72" i="57" s="1"/>
  <c r="N72" i="57"/>
  <c r="L72" i="57"/>
  <c r="D72" i="57"/>
  <c r="B72" i="57"/>
  <c r="Z71" i="57"/>
  <c r="P71" i="57"/>
  <c r="N71" i="57"/>
  <c r="L71" i="57"/>
  <c r="D71" i="57"/>
  <c r="B71" i="57"/>
  <c r="Z70" i="57"/>
  <c r="X70" i="57"/>
  <c r="P70" i="57"/>
  <c r="N70" i="57"/>
  <c r="D70" i="57"/>
  <c r="L70" i="57" s="1"/>
  <c r="B70" i="57"/>
  <c r="Z69" i="57"/>
  <c r="V69" i="57"/>
  <c r="T69" i="57"/>
  <c r="N69" i="57"/>
  <c r="L69" i="57"/>
  <c r="H69" i="57"/>
  <c r="D69" i="57"/>
  <c r="Z67" i="57"/>
  <c r="X67" i="57"/>
  <c r="N67" i="57"/>
  <c r="L67" i="57"/>
  <c r="J67" i="57"/>
  <c r="B67" i="57"/>
  <c r="T66" i="57"/>
  <c r="Z66" i="57" s="1"/>
  <c r="P66" i="57"/>
  <c r="X66" i="57" s="1"/>
  <c r="L66" i="57"/>
  <c r="H66" i="57"/>
  <c r="N66" i="57" s="1"/>
  <c r="D66" i="57"/>
  <c r="B66" i="57"/>
  <c r="X65" i="57"/>
  <c r="Z65" i="57" s="1"/>
  <c r="L65" i="57"/>
  <c r="N65" i="57" s="1"/>
  <c r="J65" i="57"/>
  <c r="B65" i="57"/>
  <c r="Z64" i="57"/>
  <c r="X64" i="57"/>
  <c r="T64" i="57"/>
  <c r="P64" i="57"/>
  <c r="H64" i="57"/>
  <c r="D64" i="57"/>
  <c r="B64" i="57"/>
  <c r="Z63" i="57"/>
  <c r="X63" i="57"/>
  <c r="L63" i="57"/>
  <c r="N63" i="57" s="1"/>
  <c r="B63" i="57"/>
  <c r="X62" i="57"/>
  <c r="Z62" i="57" s="1"/>
  <c r="T62" i="57"/>
  <c r="P62" i="57"/>
  <c r="H62" i="57"/>
  <c r="D62" i="57"/>
  <c r="L62" i="57" s="1"/>
  <c r="B62" i="57"/>
  <c r="Z61" i="57"/>
  <c r="X61" i="57"/>
  <c r="L61" i="57"/>
  <c r="N61" i="57" s="1"/>
  <c r="B61" i="57"/>
  <c r="Z60" i="57"/>
  <c r="X60" i="57"/>
  <c r="N60" i="57"/>
  <c r="L60" i="57"/>
  <c r="B60" i="57"/>
  <c r="X59" i="57"/>
  <c r="Z59" i="57" s="1"/>
  <c r="N59" i="57"/>
  <c r="L59" i="57"/>
  <c r="J59" i="57"/>
  <c r="B59" i="57"/>
  <c r="T58" i="57"/>
  <c r="P58" i="57"/>
  <c r="X58" i="57" s="1"/>
  <c r="L58" i="57"/>
  <c r="H58" i="57"/>
  <c r="D58" i="57"/>
  <c r="B58" i="57"/>
  <c r="X57" i="57"/>
  <c r="Z57" i="57" s="1"/>
  <c r="L57" i="57"/>
  <c r="N57" i="57" s="1"/>
  <c r="J57" i="57"/>
  <c r="B57" i="57"/>
  <c r="Z56" i="57"/>
  <c r="X56" i="57"/>
  <c r="T56" i="57"/>
  <c r="P56" i="57"/>
  <c r="H56" i="57"/>
  <c r="D56" i="57"/>
  <c r="B56" i="57"/>
  <c r="Z55" i="57"/>
  <c r="X55" i="57"/>
  <c r="N55" i="57"/>
  <c r="L55" i="57"/>
  <c r="B55" i="57"/>
  <c r="X54" i="57"/>
  <c r="Z54" i="57" s="1"/>
  <c r="N54" i="57"/>
  <c r="L54" i="57"/>
  <c r="B54" i="57"/>
  <c r="X53" i="57"/>
  <c r="Z53" i="57" s="1"/>
  <c r="V53" i="57"/>
  <c r="N53" i="57"/>
  <c r="L53" i="57"/>
  <c r="B53" i="57"/>
  <c r="T52" i="57"/>
  <c r="P52" i="57"/>
  <c r="X52" i="57" s="1"/>
  <c r="L52" i="57"/>
  <c r="H52" i="57"/>
  <c r="N52" i="57" s="1"/>
  <c r="D52" i="57"/>
  <c r="B52" i="57"/>
  <c r="X51" i="57"/>
  <c r="Z51" i="57" s="1"/>
  <c r="N51" i="57"/>
  <c r="L51" i="57"/>
  <c r="J51" i="57"/>
  <c r="B51" i="57"/>
  <c r="X50" i="57"/>
  <c r="T50" i="57"/>
  <c r="Z50" i="57" s="1"/>
  <c r="P50" i="57"/>
  <c r="H50" i="57"/>
  <c r="D50" i="57"/>
  <c r="B50" i="57"/>
  <c r="Z49" i="57"/>
  <c r="X49" i="57"/>
  <c r="L49" i="57"/>
  <c r="N49" i="57" s="1"/>
  <c r="J49" i="57"/>
  <c r="B49" i="57"/>
  <c r="T48" i="57"/>
  <c r="X48" i="57" s="1"/>
  <c r="Z48" i="57" s="1"/>
  <c r="P48" i="57"/>
  <c r="H48" i="57"/>
  <c r="D48" i="57"/>
  <c r="B48" i="57"/>
  <c r="Z47" i="57"/>
  <c r="X47" i="57"/>
  <c r="N47" i="57"/>
  <c r="L47" i="57"/>
  <c r="B47" i="57"/>
  <c r="Z46" i="57"/>
  <c r="X46" i="57"/>
  <c r="N46" i="57"/>
  <c r="L46" i="57"/>
  <c r="B46" i="57"/>
  <c r="V45" i="57"/>
  <c r="T45" i="57"/>
  <c r="Z45" i="57" s="1"/>
  <c r="P45" i="57"/>
  <c r="X45" i="57" s="1"/>
  <c r="H45" i="57"/>
  <c r="N45" i="57" s="1"/>
  <c r="D45" i="57"/>
  <c r="L45" i="57" s="1"/>
  <c r="B45" i="57"/>
  <c r="X44" i="57"/>
  <c r="Z44" i="57" s="1"/>
  <c r="N44" i="57"/>
  <c r="L44" i="57"/>
  <c r="B44" i="57"/>
  <c r="T43" i="57"/>
  <c r="P43" i="57"/>
  <c r="N43" i="57"/>
  <c r="L43" i="57"/>
  <c r="H43" i="57"/>
  <c r="D43" i="57"/>
  <c r="B43" i="57"/>
  <c r="Z42" i="57"/>
  <c r="X42" i="57"/>
  <c r="L42" i="57"/>
  <c r="N42" i="57" s="1"/>
  <c r="B42" i="57"/>
  <c r="T41" i="57"/>
  <c r="P41" i="57"/>
  <c r="X41" i="57" s="1"/>
  <c r="J41" i="57"/>
  <c r="H41" i="57"/>
  <c r="D41" i="57"/>
  <c r="L41" i="57" s="1"/>
  <c r="N41" i="57" s="1"/>
  <c r="B41" i="57"/>
  <c r="Z40" i="57"/>
  <c r="X40" i="57"/>
  <c r="N40" i="57"/>
  <c r="L40" i="57"/>
  <c r="B40" i="57"/>
  <c r="Z39" i="57"/>
  <c r="X39" i="57"/>
  <c r="N39" i="57"/>
  <c r="L39" i="57"/>
  <c r="B39" i="57"/>
  <c r="X38" i="57"/>
  <c r="Z38" i="57" s="1"/>
  <c r="L38" i="57"/>
  <c r="N38" i="57" s="1"/>
  <c r="B38" i="57"/>
  <c r="Z37" i="57"/>
  <c r="X37" i="57"/>
  <c r="V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N34" i="57"/>
  <c r="L34" i="57"/>
  <c r="B34" i="57"/>
  <c r="Z33" i="57"/>
  <c r="X33" i="57"/>
  <c r="V33" i="57"/>
  <c r="N33" i="57"/>
  <c r="L33" i="57"/>
  <c r="B33" i="57"/>
  <c r="X32" i="57"/>
  <c r="Z32" i="57" s="1"/>
  <c r="L32" i="57"/>
  <c r="N32" i="57" s="1"/>
  <c r="F32" i="57"/>
  <c r="B32" i="57"/>
  <c r="X31" i="57"/>
  <c r="Z31" i="57" s="1"/>
  <c r="L31" i="57"/>
  <c r="N31" i="57" s="1"/>
  <c r="B31" i="57"/>
  <c r="X30" i="57"/>
  <c r="T30" i="57"/>
  <c r="Z30" i="57" s="1"/>
  <c r="P30" i="57"/>
  <c r="H30" i="57"/>
  <c r="D30" i="57"/>
  <c r="L30" i="57" s="1"/>
  <c r="B30" i="57"/>
  <c r="Z29" i="57"/>
  <c r="X29" i="57"/>
  <c r="N29" i="57"/>
  <c r="L29" i="57"/>
  <c r="B29" i="57"/>
  <c r="X28" i="57"/>
  <c r="Z28" i="57" s="1"/>
  <c r="N28" i="57"/>
  <c r="L28" i="57"/>
  <c r="B28" i="57"/>
  <c r="X27" i="57"/>
  <c r="Z27" i="57" s="1"/>
  <c r="N27" i="57"/>
  <c r="L27" i="57"/>
  <c r="J27" i="57"/>
  <c r="B27" i="57"/>
  <c r="Z26" i="57"/>
  <c r="X26" i="57"/>
  <c r="N26" i="57"/>
  <c r="L26" i="57"/>
  <c r="F26" i="57"/>
  <c r="B26" i="57"/>
  <c r="Z25" i="57"/>
  <c r="X25" i="57"/>
  <c r="N25" i="57"/>
  <c r="L25" i="57"/>
  <c r="B25" i="57"/>
  <c r="X24" i="57"/>
  <c r="Z24" i="57" s="1"/>
  <c r="N24" i="57"/>
  <c r="L24" i="57"/>
  <c r="B24" i="57"/>
  <c r="X23" i="57"/>
  <c r="Z23" i="57" s="1"/>
  <c r="N23" i="57"/>
  <c r="L23" i="57"/>
  <c r="J23" i="57"/>
  <c r="B23" i="57"/>
  <c r="X22" i="57"/>
  <c r="Z22" i="57" s="1"/>
  <c r="N22" i="57"/>
  <c r="L22" i="57"/>
  <c r="B22" i="57"/>
  <c r="Z21" i="57"/>
  <c r="X21" i="57"/>
  <c r="L21" i="57"/>
  <c r="N21" i="57" s="1"/>
  <c r="B21" i="57"/>
  <c r="T20" i="57"/>
  <c r="P20" i="57"/>
  <c r="H20" i="57"/>
  <c r="D20" i="57"/>
  <c r="L20" i="57" s="1"/>
  <c r="B20" i="57"/>
  <c r="Z19" i="57"/>
  <c r="V19" i="57"/>
  <c r="T19" i="57"/>
  <c r="P19" i="57"/>
  <c r="X19" i="57" s="1"/>
  <c r="H19" i="57"/>
  <c r="D19" i="57"/>
  <c r="L19" i="57" s="1"/>
  <c r="V17" i="57"/>
  <c r="Z15" i="57"/>
  <c r="V15" i="57"/>
  <c r="T15" i="57"/>
  <c r="P15" i="57"/>
  <c r="X15" i="57" s="1"/>
  <c r="H15" i="57"/>
  <c r="N15" i="57" s="1"/>
  <c r="D15" i="57"/>
  <c r="L15" i="57" s="1"/>
  <c r="Z13" i="57"/>
  <c r="P13" i="57"/>
  <c r="N13" i="57"/>
  <c r="D13" i="57"/>
  <c r="L13" i="57" s="1"/>
  <c r="B13" i="57"/>
  <c r="T12" i="57"/>
  <c r="V67" i="57" s="1"/>
  <c r="N12" i="57"/>
  <c r="H12" i="57"/>
  <c r="D12" i="57"/>
  <c r="F22" i="57" s="1"/>
  <c r="D6" i="57"/>
  <c r="D4" i="57"/>
  <c r="Z82" i="56"/>
  <c r="X82" i="56"/>
  <c r="N82" i="56"/>
  <c r="L82" i="56"/>
  <c r="F82" i="56"/>
  <c r="X78" i="56"/>
  <c r="T78" i="56"/>
  <c r="Z78" i="56" s="1"/>
  <c r="P78" i="56"/>
  <c r="H78" i="56"/>
  <c r="N78" i="56" s="1"/>
  <c r="D78" i="56"/>
  <c r="L78" i="56" s="1"/>
  <c r="X76" i="56"/>
  <c r="Z76" i="56" s="1"/>
  <c r="N76" i="56"/>
  <c r="L76" i="56"/>
  <c r="B76" i="56"/>
  <c r="V75" i="56"/>
  <c r="T75" i="56"/>
  <c r="R75" i="56"/>
  <c r="P75" i="56"/>
  <c r="X75" i="56" s="1"/>
  <c r="Z75" i="56" s="1"/>
  <c r="H75" i="56"/>
  <c r="N75" i="56" s="1"/>
  <c r="D75" i="56"/>
  <c r="L75" i="56" s="1"/>
  <c r="B75" i="56"/>
  <c r="X74" i="56"/>
  <c r="Z74" i="56" s="1"/>
  <c r="R74" i="56"/>
  <c r="N74" i="56"/>
  <c r="L74" i="56"/>
  <c r="B74" i="56"/>
  <c r="X73" i="56"/>
  <c r="T73" i="56"/>
  <c r="Z73" i="56" s="1"/>
  <c r="R73" i="56"/>
  <c r="P73" i="56"/>
  <c r="N73" i="56"/>
  <c r="L73" i="56"/>
  <c r="H73" i="56"/>
  <c r="D73" i="56"/>
  <c r="B73" i="56"/>
  <c r="Z72" i="56"/>
  <c r="X72" i="56"/>
  <c r="R72" i="56"/>
  <c r="L72" i="56"/>
  <c r="N72" i="56" s="1"/>
  <c r="B72" i="56"/>
  <c r="T71" i="56"/>
  <c r="Z71" i="56" s="1"/>
  <c r="P71" i="56"/>
  <c r="X71" i="56" s="1"/>
  <c r="J71" i="56"/>
  <c r="H71" i="56"/>
  <c r="D71" i="56"/>
  <c r="L71" i="56" s="1"/>
  <c r="N71" i="56" s="1"/>
  <c r="B71" i="56"/>
  <c r="X70" i="56"/>
  <c r="Z70" i="56" s="1"/>
  <c r="N70" i="56"/>
  <c r="L70" i="56"/>
  <c r="F70" i="56"/>
  <c r="B70" i="56"/>
  <c r="X69" i="56"/>
  <c r="Z69" i="56" s="1"/>
  <c r="L69" i="56"/>
  <c r="N69" i="56" s="1"/>
  <c r="B69" i="56"/>
  <c r="X68" i="56"/>
  <c r="Z68" i="56" s="1"/>
  <c r="N68" i="56"/>
  <c r="L68" i="56"/>
  <c r="B68" i="56"/>
  <c r="V67" i="56"/>
  <c r="T67" i="56"/>
  <c r="Z67" i="56" s="1"/>
  <c r="R67" i="56"/>
  <c r="P67" i="56"/>
  <c r="X67" i="56" s="1"/>
  <c r="H67" i="56"/>
  <c r="N67" i="56" s="1"/>
  <c r="D67" i="56"/>
  <c r="L67" i="56" s="1"/>
  <c r="B67" i="56"/>
  <c r="X66" i="56"/>
  <c r="Z66" i="56" s="1"/>
  <c r="R66" i="56"/>
  <c r="N66" i="56"/>
  <c r="L66" i="56"/>
  <c r="B66" i="56"/>
  <c r="X65" i="56"/>
  <c r="T65" i="56"/>
  <c r="Z65" i="56" s="1"/>
  <c r="R65" i="56"/>
  <c r="P65" i="56"/>
  <c r="N65" i="56"/>
  <c r="L65" i="56"/>
  <c r="H65" i="56"/>
  <c r="D65" i="56"/>
  <c r="B65" i="56"/>
  <c r="Z64" i="56"/>
  <c r="X64" i="56"/>
  <c r="R64" i="56"/>
  <c r="L64" i="56"/>
  <c r="N64" i="56" s="1"/>
  <c r="B64" i="56"/>
  <c r="Z63" i="56"/>
  <c r="X63" i="56"/>
  <c r="N63" i="56"/>
  <c r="L63" i="56"/>
  <c r="J63" i="56"/>
  <c r="B63" i="56"/>
  <c r="T62" i="56"/>
  <c r="P62" i="56"/>
  <c r="X62" i="56" s="1"/>
  <c r="Z62" i="56" s="1"/>
  <c r="H62" i="56"/>
  <c r="D62" i="56"/>
  <c r="B62" i="56"/>
  <c r="X61" i="56"/>
  <c r="Z61" i="56" s="1"/>
  <c r="N61" i="56"/>
  <c r="L61" i="56"/>
  <c r="B61" i="56"/>
  <c r="X60" i="56"/>
  <c r="Z60" i="56" s="1"/>
  <c r="N60" i="56"/>
  <c r="L60" i="56"/>
  <c r="B60" i="56"/>
  <c r="X59" i="56"/>
  <c r="Z59" i="56" s="1"/>
  <c r="V59" i="56"/>
  <c r="N59" i="56"/>
  <c r="L59" i="56"/>
  <c r="B59" i="56"/>
  <c r="T58" i="56"/>
  <c r="P58" i="56"/>
  <c r="X58" i="56" s="1"/>
  <c r="L58" i="56"/>
  <c r="H58" i="56"/>
  <c r="N58" i="56" s="1"/>
  <c r="D58" i="56"/>
  <c r="B58" i="56"/>
  <c r="X57" i="56"/>
  <c r="Z57" i="56" s="1"/>
  <c r="N57" i="56"/>
  <c r="L57" i="56"/>
  <c r="J57" i="56"/>
  <c r="B57" i="56"/>
  <c r="X56" i="56"/>
  <c r="Z56" i="56" s="1"/>
  <c r="T56" i="56"/>
  <c r="P56" i="56"/>
  <c r="L56" i="56"/>
  <c r="H56" i="56"/>
  <c r="D56" i="56"/>
  <c r="B56" i="56"/>
  <c r="Z55" i="56"/>
  <c r="X55" i="56"/>
  <c r="L55" i="56"/>
  <c r="N55" i="56" s="1"/>
  <c r="J55" i="56"/>
  <c r="B55" i="56"/>
  <c r="T54" i="56"/>
  <c r="X54" i="56" s="1"/>
  <c r="Z54" i="56" s="1"/>
  <c r="P54" i="56"/>
  <c r="H54" i="56"/>
  <c r="D54" i="56"/>
  <c r="B54" i="56"/>
  <c r="Z53" i="56"/>
  <c r="X53" i="56"/>
  <c r="L53" i="56"/>
  <c r="N53" i="56" s="1"/>
  <c r="B53" i="56"/>
  <c r="X52" i="56"/>
  <c r="T52" i="56"/>
  <c r="P52" i="56"/>
  <c r="H52" i="56"/>
  <c r="N52" i="56" s="1"/>
  <c r="D52" i="56"/>
  <c r="L52" i="56" s="1"/>
  <c r="B52" i="56"/>
  <c r="Z51" i="56"/>
  <c r="X51" i="56"/>
  <c r="N51" i="56"/>
  <c r="L51" i="56"/>
  <c r="B51" i="56"/>
  <c r="T50" i="56"/>
  <c r="P50" i="56"/>
  <c r="H50" i="56"/>
  <c r="D50" i="56"/>
  <c r="L50" i="56" s="1"/>
  <c r="N50" i="56" s="1"/>
  <c r="B50" i="56"/>
  <c r="Z49" i="56"/>
  <c r="X49" i="56"/>
  <c r="V49" i="56"/>
  <c r="N49" i="56"/>
  <c r="L49" i="56"/>
  <c r="B49" i="56"/>
  <c r="T48" i="56"/>
  <c r="P48" i="56"/>
  <c r="X48" i="56" s="1"/>
  <c r="N48" i="56"/>
  <c r="L48" i="56"/>
  <c r="H48" i="56"/>
  <c r="D48" i="56"/>
  <c r="B48" i="56"/>
  <c r="X47" i="56"/>
  <c r="Z47" i="56" s="1"/>
  <c r="V47" i="56"/>
  <c r="N47" i="56"/>
  <c r="L47" i="56"/>
  <c r="B47" i="56"/>
  <c r="X46" i="56"/>
  <c r="Z46" i="56" s="1"/>
  <c r="N46" i="56"/>
  <c r="L46" i="56"/>
  <c r="B46" i="56"/>
  <c r="T45" i="56"/>
  <c r="P45" i="56"/>
  <c r="X45" i="56" s="1"/>
  <c r="Z45" i="56" s="1"/>
  <c r="J45" i="56"/>
  <c r="H45" i="56"/>
  <c r="D45" i="56"/>
  <c r="L45" i="56" s="1"/>
  <c r="N45" i="56" s="1"/>
  <c r="B45" i="56"/>
  <c r="X44" i="56"/>
  <c r="Z44" i="56" s="1"/>
  <c r="N44" i="56"/>
  <c r="L44" i="56"/>
  <c r="B44" i="56"/>
  <c r="Z43" i="56"/>
  <c r="X43" i="56"/>
  <c r="T43" i="56"/>
  <c r="P43" i="56"/>
  <c r="L43" i="56"/>
  <c r="H43" i="56"/>
  <c r="N43" i="56" s="1"/>
  <c r="D43" i="56"/>
  <c r="B43" i="56"/>
  <c r="Z42" i="56"/>
  <c r="X42" i="56"/>
  <c r="L42" i="56"/>
  <c r="N42" i="56" s="1"/>
  <c r="B42" i="56"/>
  <c r="Z41" i="56"/>
  <c r="V41" i="56"/>
  <c r="T41" i="56"/>
  <c r="X41" i="56" s="1"/>
  <c r="P41" i="56"/>
  <c r="H41" i="56"/>
  <c r="N41" i="56" s="1"/>
  <c r="D41" i="56"/>
  <c r="L41" i="56" s="1"/>
  <c r="B41" i="56"/>
  <c r="Z40" i="56"/>
  <c r="X40" i="56"/>
  <c r="N40" i="56"/>
  <c r="L40" i="56"/>
  <c r="B40" i="56"/>
  <c r="Z39" i="56"/>
  <c r="X39" i="56"/>
  <c r="V39" i="56"/>
  <c r="N39" i="56"/>
  <c r="L39" i="56"/>
  <c r="B39" i="56"/>
  <c r="X38" i="56"/>
  <c r="Z38" i="56" s="1"/>
  <c r="N38" i="56"/>
  <c r="L38" i="56"/>
  <c r="B38" i="56"/>
  <c r="Z37" i="56"/>
  <c r="X37" i="56"/>
  <c r="L37" i="56"/>
  <c r="N37" i="56" s="1"/>
  <c r="B37" i="56"/>
  <c r="Z36" i="56"/>
  <c r="X36" i="56"/>
  <c r="N36" i="56"/>
  <c r="L36" i="56"/>
  <c r="B36" i="56"/>
  <c r="Z35" i="56"/>
  <c r="X35" i="56"/>
  <c r="V35" i="56"/>
  <c r="N35" i="56"/>
  <c r="L35" i="56"/>
  <c r="B35" i="56"/>
  <c r="Z34" i="56"/>
  <c r="X34" i="56"/>
  <c r="N34" i="56"/>
  <c r="L34" i="56"/>
  <c r="B34" i="56"/>
  <c r="Z33" i="56"/>
  <c r="X33" i="56"/>
  <c r="N33" i="56"/>
  <c r="L33" i="56"/>
  <c r="B33" i="56"/>
  <c r="X32" i="56"/>
  <c r="Z32" i="56" s="1"/>
  <c r="L32" i="56"/>
  <c r="N32" i="56" s="1"/>
  <c r="B32" i="56"/>
  <c r="X31" i="56"/>
  <c r="Z31" i="56" s="1"/>
  <c r="V31" i="56"/>
  <c r="N31" i="56"/>
  <c r="L31" i="56"/>
  <c r="B31" i="56"/>
  <c r="T30" i="56"/>
  <c r="P30" i="56"/>
  <c r="X30" i="56" s="1"/>
  <c r="L30" i="56"/>
  <c r="N30" i="56" s="1"/>
  <c r="H30" i="56"/>
  <c r="D30" i="56"/>
  <c r="B30" i="56"/>
  <c r="X29" i="56"/>
  <c r="Z29" i="56" s="1"/>
  <c r="N29" i="56"/>
  <c r="L29" i="56"/>
  <c r="J29" i="56"/>
  <c r="B29" i="56"/>
  <c r="X28" i="56"/>
  <c r="Z28" i="56" s="1"/>
  <c r="N28" i="56"/>
  <c r="L28" i="56"/>
  <c r="B28" i="56"/>
  <c r="Z27" i="56"/>
  <c r="X27" i="56"/>
  <c r="N27" i="56"/>
  <c r="L27" i="56"/>
  <c r="B27" i="56"/>
  <c r="Z26" i="56"/>
  <c r="X26" i="56"/>
  <c r="R26" i="56"/>
  <c r="N26" i="56"/>
  <c r="L26" i="56"/>
  <c r="B26" i="56"/>
  <c r="X25" i="56"/>
  <c r="Z25" i="56" s="1"/>
  <c r="N25" i="56"/>
  <c r="L25" i="56"/>
  <c r="J25" i="56"/>
  <c r="B25" i="56"/>
  <c r="X24" i="56"/>
  <c r="Z24" i="56" s="1"/>
  <c r="N24" i="56"/>
  <c r="L24" i="56"/>
  <c r="B24" i="56"/>
  <c r="Z23" i="56"/>
  <c r="X23" i="56"/>
  <c r="N23" i="56"/>
  <c r="L23" i="56"/>
  <c r="B23" i="56"/>
  <c r="X22" i="56"/>
  <c r="Z22" i="56" s="1"/>
  <c r="R22" i="56"/>
  <c r="N22" i="56"/>
  <c r="L22" i="56"/>
  <c r="B22" i="56"/>
  <c r="X21" i="56"/>
  <c r="Z21" i="56" s="1"/>
  <c r="R21" i="56"/>
  <c r="N21" i="56"/>
  <c r="L21" i="56"/>
  <c r="J21" i="56"/>
  <c r="B21" i="56"/>
  <c r="V20" i="56"/>
  <c r="T20" i="56"/>
  <c r="Z20" i="56" s="1"/>
  <c r="R20" i="56"/>
  <c r="P20" i="56"/>
  <c r="X20" i="56" s="1"/>
  <c r="H20" i="56"/>
  <c r="D20" i="56"/>
  <c r="B20" i="56"/>
  <c r="X19" i="56"/>
  <c r="T19" i="56"/>
  <c r="Z19" i="56" s="1"/>
  <c r="P19" i="56"/>
  <c r="J19" i="56"/>
  <c r="H19" i="56"/>
  <c r="D19" i="56"/>
  <c r="L19" i="56" s="1"/>
  <c r="N19" i="56" s="1"/>
  <c r="J17" i="56"/>
  <c r="X15" i="56"/>
  <c r="T15" i="56"/>
  <c r="Z15" i="56" s="1"/>
  <c r="P15" i="56"/>
  <c r="P17" i="56" s="1"/>
  <c r="N15" i="56"/>
  <c r="J15" i="56"/>
  <c r="H15" i="56"/>
  <c r="D15" i="56"/>
  <c r="L15" i="56" s="1"/>
  <c r="Z13" i="56"/>
  <c r="X13" i="56"/>
  <c r="P13" i="56"/>
  <c r="N13" i="56"/>
  <c r="D13" i="56"/>
  <c r="D12" i="56" s="1"/>
  <c r="F24" i="56" s="1"/>
  <c r="B13" i="56"/>
  <c r="X12" i="56"/>
  <c r="T12" i="56"/>
  <c r="V80" i="56" s="1"/>
  <c r="P12" i="56"/>
  <c r="R50" i="56" s="1"/>
  <c r="H12" i="56"/>
  <c r="J72" i="56" s="1"/>
  <c r="D6" i="56"/>
  <c r="D4" i="56"/>
  <c r="F40" i="55"/>
  <c r="F37" i="55"/>
  <c r="Z35" i="55"/>
  <c r="X35" i="55"/>
  <c r="R35" i="55"/>
  <c r="N35" i="55"/>
  <c r="L35" i="55"/>
  <c r="V33" i="55"/>
  <c r="Z31" i="55"/>
  <c r="V31" i="55"/>
  <c r="T31" i="55"/>
  <c r="P31" i="55"/>
  <c r="X31" i="55" s="1"/>
  <c r="L31" i="55"/>
  <c r="H31" i="55"/>
  <c r="N31" i="55" s="1"/>
  <c r="D31" i="55"/>
  <c r="Z29" i="55"/>
  <c r="X29" i="55"/>
  <c r="V29" i="55"/>
  <c r="L29" i="55"/>
  <c r="N29" i="55" s="1"/>
  <c r="F29" i="55"/>
  <c r="B29" i="55"/>
  <c r="X28" i="55"/>
  <c r="Z28" i="55" s="1"/>
  <c r="N28" i="55"/>
  <c r="L28" i="55"/>
  <c r="F28" i="55"/>
  <c r="B28" i="55"/>
  <c r="X27" i="55"/>
  <c r="V27" i="55"/>
  <c r="T27" i="55"/>
  <c r="Z27" i="55" s="1"/>
  <c r="P27" i="55"/>
  <c r="H27" i="55"/>
  <c r="F27" i="55"/>
  <c r="D27" i="55"/>
  <c r="L27" i="55" s="1"/>
  <c r="N27" i="55" s="1"/>
  <c r="B27" i="55"/>
  <c r="Z26" i="55"/>
  <c r="X26" i="55"/>
  <c r="N26" i="55"/>
  <c r="L26" i="55"/>
  <c r="F26" i="55"/>
  <c r="B26" i="55"/>
  <c r="X25" i="55"/>
  <c r="T25" i="55"/>
  <c r="P25" i="55"/>
  <c r="N25" i="55"/>
  <c r="H25" i="55"/>
  <c r="F25" i="55"/>
  <c r="D25" i="55"/>
  <c r="L25" i="55" s="1"/>
  <c r="B25" i="55"/>
  <c r="Z24" i="55"/>
  <c r="X24" i="55"/>
  <c r="V24" i="55"/>
  <c r="N24" i="55"/>
  <c r="L24" i="55"/>
  <c r="F24" i="55"/>
  <c r="B24" i="55"/>
  <c r="V23" i="55"/>
  <c r="T23" i="55"/>
  <c r="P23" i="55"/>
  <c r="N23" i="55"/>
  <c r="L23" i="55"/>
  <c r="H23" i="55"/>
  <c r="F23" i="55"/>
  <c r="D23" i="55"/>
  <c r="B23" i="55"/>
  <c r="X22" i="55"/>
  <c r="Z22" i="55" s="1"/>
  <c r="V22" i="55"/>
  <c r="N22" i="55"/>
  <c r="L22" i="55"/>
  <c r="B22" i="55"/>
  <c r="V21" i="55"/>
  <c r="T21" i="55"/>
  <c r="P21" i="55"/>
  <c r="X21" i="55" s="1"/>
  <c r="Z21" i="55" s="1"/>
  <c r="L21" i="55"/>
  <c r="H21" i="55"/>
  <c r="N21" i="55" s="1"/>
  <c r="D21" i="55"/>
  <c r="B21" i="55"/>
  <c r="X20" i="55"/>
  <c r="Z20" i="55" s="1"/>
  <c r="V20" i="55"/>
  <c r="N20" i="55"/>
  <c r="L20" i="55"/>
  <c r="F20" i="55"/>
  <c r="B20" i="55"/>
  <c r="V19" i="55"/>
  <c r="T19" i="55"/>
  <c r="P19" i="55"/>
  <c r="X19" i="55" s="1"/>
  <c r="Z19" i="55" s="1"/>
  <c r="L19" i="55"/>
  <c r="H19" i="55"/>
  <c r="F19" i="55"/>
  <c r="D19" i="55"/>
  <c r="B19" i="55"/>
  <c r="T18" i="55"/>
  <c r="P18" i="55"/>
  <c r="X18" i="55" s="1"/>
  <c r="H18" i="55"/>
  <c r="F18" i="55"/>
  <c r="D18" i="55"/>
  <c r="L18" i="55" s="1"/>
  <c r="N18" i="55" s="1"/>
  <c r="F16" i="55"/>
  <c r="T14" i="55"/>
  <c r="Z14" i="55" s="1"/>
  <c r="P14" i="55"/>
  <c r="X14" i="55" s="1"/>
  <c r="N14" i="55"/>
  <c r="H14" i="55"/>
  <c r="F14" i="55"/>
  <c r="D14" i="55"/>
  <c r="D16" i="55" s="1"/>
  <c r="T12" i="55"/>
  <c r="V26" i="55" s="1"/>
  <c r="P12" i="55"/>
  <c r="R40" i="55" s="1"/>
  <c r="H12" i="55"/>
  <c r="D12" i="55"/>
  <c r="F33" i="55" s="1"/>
  <c r="D6" i="55"/>
  <c r="D4" i="55"/>
  <c r="J31" i="54"/>
  <c r="F31" i="54"/>
  <c r="T29" i="54"/>
  <c r="Z29" i="54" s="1"/>
  <c r="P29" i="54"/>
  <c r="X29" i="54" s="1"/>
  <c r="L29" i="54"/>
  <c r="N29" i="54" s="1"/>
  <c r="J29" i="54"/>
  <c r="H29" i="54"/>
  <c r="F29" i="54"/>
  <c r="D29" i="54"/>
  <c r="T28" i="54"/>
  <c r="P28" i="54"/>
  <c r="X28" i="54" s="1"/>
  <c r="L28" i="54"/>
  <c r="N28" i="54" s="1"/>
  <c r="J28" i="54"/>
  <c r="H28" i="54"/>
  <c r="F28" i="54"/>
  <c r="D28" i="54"/>
  <c r="J26" i="54"/>
  <c r="F26" i="54"/>
  <c r="Z24" i="54"/>
  <c r="X24" i="54"/>
  <c r="R24" i="54"/>
  <c r="N24" i="54"/>
  <c r="L24" i="54"/>
  <c r="J24" i="54"/>
  <c r="F24" i="54"/>
  <c r="V22" i="54"/>
  <c r="Z20" i="54"/>
  <c r="V20" i="54"/>
  <c r="T20" i="54"/>
  <c r="P20" i="54"/>
  <c r="X20" i="54" s="1"/>
  <c r="H20" i="54"/>
  <c r="N20" i="54" s="1"/>
  <c r="D20" i="54"/>
  <c r="L20" i="54" s="1"/>
  <c r="Z18" i="54"/>
  <c r="V18" i="54"/>
  <c r="T18" i="54"/>
  <c r="P18" i="54"/>
  <c r="X18" i="54" s="1"/>
  <c r="H18" i="54"/>
  <c r="N18" i="54" s="1"/>
  <c r="D18" i="54"/>
  <c r="L18" i="54" s="1"/>
  <c r="V16" i="54"/>
  <c r="Z14" i="54"/>
  <c r="V14" i="54"/>
  <c r="T14" i="54"/>
  <c r="P14" i="54"/>
  <c r="X14" i="54" s="1"/>
  <c r="J14" i="54"/>
  <c r="H14" i="54"/>
  <c r="N14" i="54" s="1"/>
  <c r="D14" i="54"/>
  <c r="L14" i="54" s="1"/>
  <c r="Z12" i="54"/>
  <c r="T12" i="54"/>
  <c r="P12" i="54"/>
  <c r="R22" i="54" s="1"/>
  <c r="N12" i="54"/>
  <c r="H12" i="54"/>
  <c r="J22" i="54" s="1"/>
  <c r="D12" i="54"/>
  <c r="L12" i="54" s="1"/>
  <c r="D6" i="54"/>
  <c r="D4" i="54"/>
  <c r="Z107" i="51"/>
  <c r="X107" i="51"/>
  <c r="N107" i="51"/>
  <c r="L107" i="51"/>
  <c r="P103" i="51"/>
  <c r="L103" i="51"/>
  <c r="N103" i="51" s="1"/>
  <c r="D103" i="51"/>
  <c r="B103" i="51"/>
  <c r="Z102" i="51"/>
  <c r="P102" i="51"/>
  <c r="X102" i="51" s="1"/>
  <c r="N102" i="51"/>
  <c r="J102" i="51"/>
  <c r="D102" i="51"/>
  <c r="L102" i="51" s="1"/>
  <c r="B102" i="51"/>
  <c r="T101" i="51"/>
  <c r="N101" i="51"/>
  <c r="J101" i="51"/>
  <c r="H101" i="51"/>
  <c r="D101" i="51"/>
  <c r="L101" i="51" s="1"/>
  <c r="X99" i="51"/>
  <c r="Z99" i="51" s="1"/>
  <c r="N99" i="51"/>
  <c r="L99" i="51"/>
  <c r="J99" i="51"/>
  <c r="B99" i="51"/>
  <c r="T98" i="51"/>
  <c r="P98" i="51"/>
  <c r="X98" i="51" s="1"/>
  <c r="Z98" i="51" s="1"/>
  <c r="H98" i="51"/>
  <c r="N98" i="51" s="1"/>
  <c r="D98" i="51"/>
  <c r="L98" i="51" s="1"/>
  <c r="B98" i="51"/>
  <c r="X97" i="51"/>
  <c r="Z97" i="51" s="1"/>
  <c r="L97" i="51"/>
  <c r="N97" i="51" s="1"/>
  <c r="B97" i="51"/>
  <c r="X96" i="51"/>
  <c r="T96" i="51"/>
  <c r="Z96" i="51" s="1"/>
  <c r="P96" i="51"/>
  <c r="H96" i="51"/>
  <c r="D96" i="51"/>
  <c r="L96" i="51" s="1"/>
  <c r="N96" i="51" s="1"/>
  <c r="B96" i="51"/>
  <c r="Z95" i="51"/>
  <c r="X95" i="51"/>
  <c r="L95" i="51"/>
  <c r="N95" i="51" s="1"/>
  <c r="B95" i="51"/>
  <c r="X94" i="51"/>
  <c r="Z94" i="51" s="1"/>
  <c r="N94" i="51"/>
  <c r="L94" i="51"/>
  <c r="B94" i="51"/>
  <c r="Z93" i="51"/>
  <c r="X93" i="51"/>
  <c r="N93" i="51"/>
  <c r="L93" i="51"/>
  <c r="J93" i="51"/>
  <c r="B93" i="51"/>
  <c r="Z92" i="51"/>
  <c r="X92" i="51"/>
  <c r="N92" i="51"/>
  <c r="L92" i="51"/>
  <c r="B92" i="51"/>
  <c r="T91" i="51"/>
  <c r="P91" i="51"/>
  <c r="X91" i="51" s="1"/>
  <c r="Z91" i="51" s="1"/>
  <c r="H91" i="51"/>
  <c r="D91" i="51"/>
  <c r="B91" i="51"/>
  <c r="Z90" i="51"/>
  <c r="X90" i="51"/>
  <c r="N90" i="51"/>
  <c r="L90" i="51"/>
  <c r="B90" i="51"/>
  <c r="Z89" i="51"/>
  <c r="X89" i="51"/>
  <c r="V89" i="51"/>
  <c r="N89" i="51"/>
  <c r="L89" i="51"/>
  <c r="B89" i="51"/>
  <c r="T88" i="51"/>
  <c r="P88" i="51"/>
  <c r="H88" i="51"/>
  <c r="D88" i="51"/>
  <c r="L88" i="51" s="1"/>
  <c r="N88" i="51" s="1"/>
  <c r="B88" i="51"/>
  <c r="X87" i="51"/>
  <c r="Z87" i="51" s="1"/>
  <c r="N87" i="51"/>
  <c r="L87" i="51"/>
  <c r="B87" i="51"/>
  <c r="T86" i="51"/>
  <c r="P86" i="51"/>
  <c r="X86" i="51" s="1"/>
  <c r="Z86" i="51" s="1"/>
  <c r="L86" i="51"/>
  <c r="H86" i="51"/>
  <c r="D86" i="51"/>
  <c r="B86" i="51"/>
  <c r="X85" i="51"/>
  <c r="Z85" i="51" s="1"/>
  <c r="N85" i="51"/>
  <c r="L85" i="51"/>
  <c r="J85" i="51"/>
  <c r="B85" i="51"/>
  <c r="T84" i="51"/>
  <c r="P84" i="51"/>
  <c r="L84" i="51"/>
  <c r="H84" i="51"/>
  <c r="D84" i="51"/>
  <c r="B84" i="51"/>
  <c r="Z83" i="51"/>
  <c r="X83" i="51"/>
  <c r="N83" i="51"/>
  <c r="L83" i="51"/>
  <c r="J83" i="51"/>
  <c r="B83" i="51"/>
  <c r="X82" i="51"/>
  <c r="Z82" i="51" s="1"/>
  <c r="N82" i="51"/>
  <c r="L82" i="51"/>
  <c r="B82" i="51"/>
  <c r="T81" i="51"/>
  <c r="P81" i="51"/>
  <c r="X81" i="51" s="1"/>
  <c r="Z81" i="51" s="1"/>
  <c r="H81" i="51"/>
  <c r="N81" i="51" s="1"/>
  <c r="D81" i="51"/>
  <c r="L81" i="51" s="1"/>
  <c r="B81" i="51"/>
  <c r="X80" i="51"/>
  <c r="Z80" i="51" s="1"/>
  <c r="N80" i="51"/>
  <c r="L80" i="51"/>
  <c r="B80" i="51"/>
  <c r="X79" i="51"/>
  <c r="T79" i="51"/>
  <c r="Z79" i="51" s="1"/>
  <c r="P79" i="51"/>
  <c r="H79" i="51"/>
  <c r="N79" i="51" s="1"/>
  <c r="D79" i="51"/>
  <c r="L79" i="51" s="1"/>
  <c r="B79" i="51"/>
  <c r="X78" i="51"/>
  <c r="Z78" i="51" s="1"/>
  <c r="L78" i="51"/>
  <c r="N78" i="51" s="1"/>
  <c r="B78" i="51"/>
  <c r="T77" i="51"/>
  <c r="P77" i="51"/>
  <c r="H77" i="51"/>
  <c r="D77" i="51"/>
  <c r="L77" i="51" s="1"/>
  <c r="N77" i="51" s="1"/>
  <c r="B77" i="51"/>
  <c r="Z76" i="51"/>
  <c r="X76" i="51"/>
  <c r="L76" i="51"/>
  <c r="N76" i="51" s="1"/>
  <c r="B76" i="51"/>
  <c r="T75" i="51"/>
  <c r="P75" i="51"/>
  <c r="X75" i="51" s="1"/>
  <c r="J75" i="51"/>
  <c r="H75" i="51"/>
  <c r="D75" i="51"/>
  <c r="L75" i="51" s="1"/>
  <c r="N75" i="51" s="1"/>
  <c r="B75" i="51"/>
  <c r="Z74" i="51"/>
  <c r="X74" i="51"/>
  <c r="N74" i="51"/>
  <c r="L74" i="51"/>
  <c r="B74" i="51"/>
  <c r="T73" i="51"/>
  <c r="Z73" i="51" s="1"/>
  <c r="P73" i="51"/>
  <c r="X73" i="51" s="1"/>
  <c r="L73" i="51"/>
  <c r="J73" i="51"/>
  <c r="H73" i="51"/>
  <c r="D73" i="51"/>
  <c r="B73" i="51"/>
  <c r="Z72" i="51"/>
  <c r="X72" i="51"/>
  <c r="N72" i="51"/>
  <c r="L72" i="51"/>
  <c r="J72" i="51"/>
  <c r="B72" i="51"/>
  <c r="Z71" i="51"/>
  <c r="X71" i="51"/>
  <c r="N71" i="51"/>
  <c r="L71" i="51"/>
  <c r="B71" i="51"/>
  <c r="Z70" i="51"/>
  <c r="X70" i="51"/>
  <c r="N70" i="51"/>
  <c r="L70" i="51"/>
  <c r="B70" i="51"/>
  <c r="X69" i="51"/>
  <c r="Z69" i="51" s="1"/>
  <c r="N69" i="51"/>
  <c r="L69" i="51"/>
  <c r="J69" i="51"/>
  <c r="B69" i="51"/>
  <c r="Z68" i="51"/>
  <c r="X68" i="51"/>
  <c r="N68" i="51"/>
  <c r="L68" i="51"/>
  <c r="J68" i="51"/>
  <c r="B68" i="51"/>
  <c r="Z67" i="51"/>
  <c r="X67" i="51"/>
  <c r="N67" i="51"/>
  <c r="L67" i="51"/>
  <c r="B67" i="51"/>
  <c r="Z66" i="51"/>
  <c r="X66" i="51"/>
  <c r="L66" i="51"/>
  <c r="N66" i="51" s="1"/>
  <c r="B66" i="51"/>
  <c r="Z65" i="51"/>
  <c r="X65" i="51"/>
  <c r="N65" i="51"/>
  <c r="L65" i="51"/>
  <c r="J65" i="51"/>
  <c r="B65" i="51"/>
  <c r="Z64" i="51"/>
  <c r="X64" i="51"/>
  <c r="N64" i="51"/>
  <c r="L64" i="51"/>
  <c r="J64" i="51"/>
  <c r="B64" i="51"/>
  <c r="Z63" i="51"/>
  <c r="X63" i="51"/>
  <c r="N63" i="51"/>
  <c r="L63" i="51"/>
  <c r="B63" i="51"/>
  <c r="Z62" i="51"/>
  <c r="X62" i="51"/>
  <c r="T62" i="51"/>
  <c r="P62" i="51"/>
  <c r="H62" i="51"/>
  <c r="D62" i="51"/>
  <c r="L62" i="51" s="1"/>
  <c r="B62" i="51"/>
  <c r="Z61" i="51"/>
  <c r="X61" i="51"/>
  <c r="N61" i="51"/>
  <c r="L61" i="51"/>
  <c r="B61" i="51"/>
  <c r="Z60" i="51"/>
  <c r="X60" i="51"/>
  <c r="L60" i="51"/>
  <c r="N60" i="51" s="1"/>
  <c r="B60" i="51"/>
  <c r="X59" i="51"/>
  <c r="Z59" i="51" s="1"/>
  <c r="L59" i="51"/>
  <c r="N59" i="51" s="1"/>
  <c r="J59" i="51"/>
  <c r="B59" i="51"/>
  <c r="Z58" i="51"/>
  <c r="X58" i="51"/>
  <c r="N58" i="51"/>
  <c r="L58" i="51"/>
  <c r="J58" i="51"/>
  <c r="B58" i="51"/>
  <c r="Z57" i="51"/>
  <c r="X57" i="51"/>
  <c r="V57" i="51"/>
  <c r="N57" i="51"/>
  <c r="L57" i="51"/>
  <c r="B57" i="51"/>
  <c r="Z56" i="51"/>
  <c r="X56" i="51"/>
  <c r="L56" i="51"/>
  <c r="N56" i="51" s="1"/>
  <c r="B56" i="51"/>
  <c r="X55" i="51"/>
  <c r="Z55" i="51" s="1"/>
  <c r="L55" i="51"/>
  <c r="N55" i="51" s="1"/>
  <c r="J55" i="51"/>
  <c r="B55" i="51"/>
  <c r="X54" i="51"/>
  <c r="Z54" i="51" s="1"/>
  <c r="N54" i="51"/>
  <c r="L54" i="51"/>
  <c r="J54" i="51"/>
  <c r="B54" i="51"/>
  <c r="Z53" i="51"/>
  <c r="X53" i="51"/>
  <c r="L53" i="51"/>
  <c r="N53" i="51" s="1"/>
  <c r="B53" i="51"/>
  <c r="Z52" i="51"/>
  <c r="X52" i="51"/>
  <c r="L52" i="51"/>
  <c r="N52" i="51" s="1"/>
  <c r="B52" i="51"/>
  <c r="T51" i="51"/>
  <c r="P51" i="51"/>
  <c r="X51" i="51" s="1"/>
  <c r="J51" i="51"/>
  <c r="H51" i="51"/>
  <c r="D51" i="51"/>
  <c r="L51" i="51" s="1"/>
  <c r="N51" i="51" s="1"/>
  <c r="B51" i="51"/>
  <c r="V50" i="51"/>
  <c r="T50" i="51"/>
  <c r="Z50" i="51" s="1"/>
  <c r="P50" i="51"/>
  <c r="X50" i="51" s="1"/>
  <c r="L50" i="51"/>
  <c r="H50" i="51"/>
  <c r="D50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N39" i="51"/>
  <c r="L39" i="51"/>
  <c r="B39" i="51"/>
  <c r="Z38" i="51"/>
  <c r="X38" i="51"/>
  <c r="N38" i="51"/>
  <c r="L38" i="51"/>
  <c r="B38" i="51"/>
  <c r="Z37" i="51"/>
  <c r="X37" i="51"/>
  <c r="N37" i="51"/>
  <c r="L37" i="51"/>
  <c r="B37" i="51"/>
  <c r="Z36" i="51"/>
  <c r="X36" i="51"/>
  <c r="N36" i="51"/>
  <c r="L36" i="51"/>
  <c r="B36" i="51"/>
  <c r="Z35" i="51"/>
  <c r="X35" i="51"/>
  <c r="N35" i="51"/>
  <c r="L35" i="51"/>
  <c r="B35" i="51"/>
  <c r="Z34" i="51"/>
  <c r="X34" i="51"/>
  <c r="N34" i="51"/>
  <c r="L34" i="51"/>
  <c r="B34" i="51"/>
  <c r="X33" i="51"/>
  <c r="Z33" i="51" s="1"/>
  <c r="L33" i="51"/>
  <c r="N33" i="51" s="1"/>
  <c r="B33" i="51"/>
  <c r="X32" i="51"/>
  <c r="T32" i="51"/>
  <c r="P32" i="51"/>
  <c r="J32" i="51"/>
  <c r="H32" i="51"/>
  <c r="D32" i="51"/>
  <c r="L32" i="51" s="1"/>
  <c r="Z30" i="51"/>
  <c r="X30" i="51"/>
  <c r="P30" i="51"/>
  <c r="N30" i="51"/>
  <c r="L30" i="51"/>
  <c r="D30" i="51"/>
  <c r="B30" i="51"/>
  <c r="Z29" i="51"/>
  <c r="X29" i="51"/>
  <c r="P29" i="51"/>
  <c r="N29" i="51"/>
  <c r="L29" i="51"/>
  <c r="D29" i="51"/>
  <c r="B29" i="51"/>
  <c r="Z28" i="51"/>
  <c r="P28" i="51"/>
  <c r="X28" i="51" s="1"/>
  <c r="N28" i="51"/>
  <c r="L28" i="51"/>
  <c r="D28" i="51"/>
  <c r="B28" i="51"/>
  <c r="Z27" i="51"/>
  <c r="X27" i="51"/>
  <c r="P27" i="51"/>
  <c r="N27" i="51"/>
  <c r="L27" i="51"/>
  <c r="D27" i="51"/>
  <c r="B27" i="51"/>
  <c r="Z26" i="51"/>
  <c r="X26" i="51"/>
  <c r="P26" i="51"/>
  <c r="N26" i="51"/>
  <c r="L26" i="51"/>
  <c r="D26" i="51"/>
  <c r="B26" i="51"/>
  <c r="Z25" i="51"/>
  <c r="P25" i="51"/>
  <c r="X25" i="51" s="1"/>
  <c r="N25" i="51"/>
  <c r="D25" i="51"/>
  <c r="L25" i="51" s="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L23" i="51"/>
  <c r="D23" i="51"/>
  <c r="B23" i="51"/>
  <c r="Z22" i="51"/>
  <c r="P22" i="51"/>
  <c r="X22" i="51" s="1"/>
  <c r="N22" i="51"/>
  <c r="D22" i="51"/>
  <c r="L22" i="51" s="1"/>
  <c r="B22" i="51"/>
  <c r="Z21" i="51"/>
  <c r="X21" i="51"/>
  <c r="P21" i="51"/>
  <c r="N21" i="51"/>
  <c r="D21" i="51"/>
  <c r="L21" i="51" s="1"/>
  <c r="B21" i="51"/>
  <c r="Z20" i="51"/>
  <c r="X20" i="51"/>
  <c r="P20" i="51"/>
  <c r="N20" i="51"/>
  <c r="D20" i="51"/>
  <c r="L20" i="51" s="1"/>
  <c r="B20" i="51"/>
  <c r="P19" i="51"/>
  <c r="X19" i="51" s="1"/>
  <c r="Z19" i="51" s="1"/>
  <c r="N19" i="51"/>
  <c r="D19" i="51"/>
  <c r="L19" i="51" s="1"/>
  <c r="B19" i="51"/>
  <c r="Z18" i="51"/>
  <c r="X18" i="51"/>
  <c r="P18" i="51"/>
  <c r="N18" i="51"/>
  <c r="D18" i="51"/>
  <c r="B18" i="51"/>
  <c r="Z17" i="51"/>
  <c r="X17" i="51"/>
  <c r="P17" i="51"/>
  <c r="N17" i="51"/>
  <c r="L17" i="51"/>
  <c r="D17" i="5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L15" i="51"/>
  <c r="D15" i="51"/>
  <c r="B15" i="51"/>
  <c r="Z14" i="51"/>
  <c r="X14" i="51"/>
  <c r="P14" i="51"/>
  <c r="N14" i="51"/>
  <c r="L14" i="51"/>
  <c r="D14" i="51"/>
  <c r="B14" i="51"/>
  <c r="P13" i="51"/>
  <c r="D13" i="51"/>
  <c r="L13" i="51" s="1"/>
  <c r="N13" i="51" s="1"/>
  <c r="B13" i="51"/>
  <c r="T12" i="51"/>
  <c r="V107" i="51" s="1"/>
  <c r="H12" i="51"/>
  <c r="J103" i="51" s="1"/>
  <c r="D4" i="51"/>
  <c r="Z75" i="48"/>
  <c r="X75" i="48"/>
  <c r="R75" i="48"/>
  <c r="L75" i="48"/>
  <c r="N75" i="48" s="1"/>
  <c r="P71" i="48"/>
  <c r="X71" i="48" s="1"/>
  <c r="Z71" i="48" s="1"/>
  <c r="D71" i="48"/>
  <c r="B71" i="48"/>
  <c r="T70" i="48"/>
  <c r="P70" i="48"/>
  <c r="X70" i="48" s="1"/>
  <c r="Z70" i="48" s="1"/>
  <c r="H70" i="48"/>
  <c r="Z68" i="48"/>
  <c r="X68" i="48"/>
  <c r="L68" i="48"/>
  <c r="N68" i="48" s="1"/>
  <c r="B68" i="48"/>
  <c r="X67" i="48"/>
  <c r="T67" i="48"/>
  <c r="Z67" i="48" s="1"/>
  <c r="P67" i="48"/>
  <c r="H67" i="48"/>
  <c r="N67" i="48" s="1"/>
  <c r="D67" i="48"/>
  <c r="L67" i="48" s="1"/>
  <c r="B67" i="48"/>
  <c r="Z66" i="48"/>
  <c r="X66" i="48"/>
  <c r="N66" i="48"/>
  <c r="L66" i="48"/>
  <c r="B66" i="48"/>
  <c r="T65" i="48"/>
  <c r="P65" i="48"/>
  <c r="L65" i="48"/>
  <c r="H65" i="48"/>
  <c r="N65" i="48" s="1"/>
  <c r="D65" i="48"/>
  <c r="B65" i="48"/>
  <c r="Z64" i="48"/>
  <c r="X64" i="48"/>
  <c r="N64" i="48"/>
  <c r="L64" i="48"/>
  <c r="B64" i="48"/>
  <c r="Z63" i="48"/>
  <c r="X63" i="48"/>
  <c r="R63" i="48"/>
  <c r="L63" i="48"/>
  <c r="N63" i="48" s="1"/>
  <c r="B63" i="48"/>
  <c r="T62" i="48"/>
  <c r="Z62" i="48" s="1"/>
  <c r="P62" i="48"/>
  <c r="X62" i="48" s="1"/>
  <c r="N62" i="48"/>
  <c r="H62" i="48"/>
  <c r="D62" i="48"/>
  <c r="L62" i="48" s="1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L59" i="48"/>
  <c r="N59" i="48" s="1"/>
  <c r="B59" i="48"/>
  <c r="X58" i="48"/>
  <c r="Z58" i="48" s="1"/>
  <c r="V58" i="48"/>
  <c r="N58" i="48"/>
  <c r="L58" i="48"/>
  <c r="B58" i="48"/>
  <c r="T57" i="48"/>
  <c r="Z57" i="48" s="1"/>
  <c r="P57" i="48"/>
  <c r="X57" i="48" s="1"/>
  <c r="L57" i="48"/>
  <c r="H57" i="48"/>
  <c r="N57" i="48" s="1"/>
  <c r="D57" i="48"/>
  <c r="B57" i="48"/>
  <c r="X56" i="48"/>
  <c r="Z56" i="48" s="1"/>
  <c r="N56" i="48"/>
  <c r="L56" i="48"/>
  <c r="B56" i="48"/>
  <c r="X55" i="48"/>
  <c r="T55" i="48"/>
  <c r="Z55" i="48" s="1"/>
  <c r="R55" i="48"/>
  <c r="P55" i="48"/>
  <c r="L55" i="48"/>
  <c r="H55" i="48"/>
  <c r="D55" i="48"/>
  <c r="B55" i="48"/>
  <c r="Z54" i="48"/>
  <c r="X54" i="48"/>
  <c r="R54" i="48"/>
  <c r="L54" i="48"/>
  <c r="N54" i="48" s="1"/>
  <c r="B54" i="48"/>
  <c r="T53" i="48"/>
  <c r="Z53" i="48" s="1"/>
  <c r="P53" i="48"/>
  <c r="X53" i="48" s="1"/>
  <c r="H53" i="48"/>
  <c r="D53" i="48"/>
  <c r="B53" i="48"/>
  <c r="Z52" i="48"/>
  <c r="X52" i="48"/>
  <c r="L52" i="48"/>
  <c r="N52" i="48" s="1"/>
  <c r="B52" i="48"/>
  <c r="X51" i="48"/>
  <c r="T51" i="48"/>
  <c r="P51" i="48"/>
  <c r="H51" i="48"/>
  <c r="N51" i="48" s="1"/>
  <c r="D51" i="48"/>
  <c r="L51" i="48" s="1"/>
  <c r="B51" i="48"/>
  <c r="Z50" i="48"/>
  <c r="X50" i="48"/>
  <c r="N50" i="48"/>
  <c r="L50" i="48"/>
  <c r="B50" i="48"/>
  <c r="Z49" i="48"/>
  <c r="X49" i="48"/>
  <c r="R49" i="48"/>
  <c r="N49" i="48"/>
  <c r="L49" i="48"/>
  <c r="B49" i="48"/>
  <c r="X48" i="48"/>
  <c r="Z48" i="48" s="1"/>
  <c r="T48" i="48"/>
  <c r="R48" i="48"/>
  <c r="P48" i="48"/>
  <c r="N48" i="48"/>
  <c r="L48" i="48"/>
  <c r="H48" i="48"/>
  <c r="D48" i="48"/>
  <c r="B48" i="48"/>
  <c r="Z47" i="48"/>
  <c r="X47" i="48"/>
  <c r="R47" i="48"/>
  <c r="L47" i="48"/>
  <c r="N47" i="48" s="1"/>
  <c r="B47" i="48"/>
  <c r="T46" i="48"/>
  <c r="P46" i="48"/>
  <c r="X46" i="48" s="1"/>
  <c r="Z46" i="48" s="1"/>
  <c r="J46" i="48"/>
  <c r="H46" i="48"/>
  <c r="D46" i="48"/>
  <c r="L46" i="48" s="1"/>
  <c r="N46" i="48" s="1"/>
  <c r="B46" i="48"/>
  <c r="X45" i="48"/>
  <c r="Z45" i="48" s="1"/>
  <c r="L45" i="48"/>
  <c r="N45" i="48" s="1"/>
  <c r="B45" i="48"/>
  <c r="T44" i="48"/>
  <c r="P44" i="48"/>
  <c r="X44" i="48" s="1"/>
  <c r="Z44" i="48" s="1"/>
  <c r="J44" i="48"/>
  <c r="H44" i="48"/>
  <c r="F44" i="48"/>
  <c r="D44" i="48"/>
  <c r="L44" i="48" s="1"/>
  <c r="N44" i="48" s="1"/>
  <c r="B44" i="48"/>
  <c r="X43" i="48"/>
  <c r="Z43" i="48" s="1"/>
  <c r="N43" i="48"/>
  <c r="L43" i="48"/>
  <c r="B43" i="48"/>
  <c r="Z42" i="48"/>
  <c r="X42" i="48"/>
  <c r="T42" i="48"/>
  <c r="R42" i="48"/>
  <c r="P42" i="48"/>
  <c r="L42" i="48"/>
  <c r="N42" i="48" s="1"/>
  <c r="H42" i="48"/>
  <c r="D42" i="48"/>
  <c r="B42" i="48"/>
  <c r="Z41" i="48"/>
  <c r="X41" i="48"/>
  <c r="R41" i="48"/>
  <c r="N41" i="48"/>
  <c r="L41" i="48"/>
  <c r="B41" i="48"/>
  <c r="Z40" i="48"/>
  <c r="X40" i="48"/>
  <c r="N40" i="48"/>
  <c r="L40" i="48"/>
  <c r="B40" i="48"/>
  <c r="Z39" i="48"/>
  <c r="X39" i="48"/>
  <c r="R39" i="48"/>
  <c r="L39" i="48"/>
  <c r="N39" i="48" s="1"/>
  <c r="B39" i="48"/>
  <c r="Z38" i="48"/>
  <c r="X38" i="48"/>
  <c r="R38" i="48"/>
  <c r="N38" i="48"/>
  <c r="L38" i="48"/>
  <c r="J38" i="48"/>
  <c r="B38" i="48"/>
  <c r="Z37" i="48"/>
  <c r="X37" i="48"/>
  <c r="R37" i="48"/>
  <c r="N37" i="48"/>
  <c r="L37" i="48"/>
  <c r="B37" i="48"/>
  <c r="Z36" i="48"/>
  <c r="X36" i="48"/>
  <c r="N36" i="48"/>
  <c r="L36" i="48"/>
  <c r="B36" i="48"/>
  <c r="Z35" i="48"/>
  <c r="X35" i="48"/>
  <c r="R35" i="48"/>
  <c r="L35" i="48"/>
  <c r="N35" i="48" s="1"/>
  <c r="B35" i="48"/>
  <c r="Z34" i="48"/>
  <c r="X34" i="48"/>
  <c r="R34" i="48"/>
  <c r="N34" i="48"/>
  <c r="L34" i="48"/>
  <c r="J34" i="48"/>
  <c r="B34" i="48"/>
  <c r="Z33" i="48"/>
  <c r="X33" i="48"/>
  <c r="R33" i="48"/>
  <c r="L33" i="48"/>
  <c r="N33" i="48" s="1"/>
  <c r="B33" i="48"/>
  <c r="Z32" i="48"/>
  <c r="X32" i="48"/>
  <c r="N32" i="48"/>
  <c r="L32" i="48"/>
  <c r="B32" i="48"/>
  <c r="T31" i="48"/>
  <c r="P31" i="48"/>
  <c r="H31" i="48"/>
  <c r="N31" i="48" s="1"/>
  <c r="D31" i="48"/>
  <c r="L31" i="48" s="1"/>
  <c r="B31" i="48"/>
  <c r="X30" i="48"/>
  <c r="Z30" i="48" s="1"/>
  <c r="N30" i="48"/>
  <c r="L30" i="48"/>
  <c r="B30" i="48"/>
  <c r="X29" i="48"/>
  <c r="Z29" i="48" s="1"/>
  <c r="L29" i="48"/>
  <c r="N29" i="48" s="1"/>
  <c r="F29" i="48"/>
  <c r="B29" i="48"/>
  <c r="Z28" i="48"/>
  <c r="X28" i="48"/>
  <c r="L28" i="48"/>
  <c r="N28" i="48" s="1"/>
  <c r="B28" i="48"/>
  <c r="Z27" i="48"/>
  <c r="X27" i="48"/>
  <c r="N27" i="48"/>
  <c r="L27" i="48"/>
  <c r="B27" i="48"/>
  <c r="Z26" i="48"/>
  <c r="X26" i="48"/>
  <c r="N26" i="48"/>
  <c r="L26" i="48"/>
  <c r="B26" i="48"/>
  <c r="X25" i="48"/>
  <c r="Z25" i="48" s="1"/>
  <c r="L25" i="48"/>
  <c r="N25" i="48" s="1"/>
  <c r="F25" i="48"/>
  <c r="B25" i="48"/>
  <c r="Z24" i="48"/>
  <c r="X24" i="48"/>
  <c r="L24" i="48"/>
  <c r="N24" i="48" s="1"/>
  <c r="B24" i="48"/>
  <c r="X23" i="48"/>
  <c r="Z23" i="48" s="1"/>
  <c r="L23" i="48"/>
  <c r="N23" i="48" s="1"/>
  <c r="B23" i="48"/>
  <c r="X22" i="48"/>
  <c r="Z22" i="48" s="1"/>
  <c r="N22" i="48"/>
  <c r="L22" i="48"/>
  <c r="B22" i="48"/>
  <c r="X21" i="48"/>
  <c r="Z21" i="48" s="1"/>
  <c r="L21" i="48"/>
  <c r="N21" i="48" s="1"/>
  <c r="B21" i="48"/>
  <c r="T20" i="48"/>
  <c r="P20" i="48"/>
  <c r="X20" i="48" s="1"/>
  <c r="Z20" i="48" s="1"/>
  <c r="H20" i="48"/>
  <c r="D20" i="48"/>
  <c r="L20" i="48" s="1"/>
  <c r="N20" i="48" s="1"/>
  <c r="B20" i="48"/>
  <c r="X19" i="48"/>
  <c r="T19" i="48"/>
  <c r="R19" i="48"/>
  <c r="P19" i="48"/>
  <c r="H19" i="48"/>
  <c r="D19" i="48"/>
  <c r="X15" i="48"/>
  <c r="T15" i="48"/>
  <c r="Z15" i="48" s="1"/>
  <c r="R15" i="48"/>
  <c r="P15" i="48"/>
  <c r="L15" i="48"/>
  <c r="H15" i="48"/>
  <c r="N15" i="48" s="1"/>
  <c r="D15" i="48"/>
  <c r="X13" i="48"/>
  <c r="Z13" i="48" s="1"/>
  <c r="P13" i="48"/>
  <c r="L13" i="48"/>
  <c r="N13" i="48" s="1"/>
  <c r="D13" i="48"/>
  <c r="D12" i="48" s="1"/>
  <c r="F42" i="48" s="1"/>
  <c r="B13" i="48"/>
  <c r="T12" i="48"/>
  <c r="V64" i="48" s="1"/>
  <c r="P12" i="48"/>
  <c r="R65" i="48" s="1"/>
  <c r="H12" i="48"/>
  <c r="J71" i="48" s="1"/>
  <c r="D4" i="48"/>
  <c r="X103" i="45"/>
  <c r="Z103" i="45" s="1"/>
  <c r="N103" i="45"/>
  <c r="L103" i="45"/>
  <c r="V99" i="45"/>
  <c r="T99" i="45"/>
  <c r="Z99" i="45" s="1"/>
  <c r="P99" i="45"/>
  <c r="X99" i="45" s="1"/>
  <c r="L99" i="45"/>
  <c r="H99" i="45"/>
  <c r="N99" i="45" s="1"/>
  <c r="D99" i="45"/>
  <c r="X97" i="45"/>
  <c r="Z97" i="45" s="1"/>
  <c r="L97" i="45"/>
  <c r="N97" i="45" s="1"/>
  <c r="B97" i="45"/>
  <c r="T96" i="45"/>
  <c r="P96" i="45"/>
  <c r="X96" i="45" s="1"/>
  <c r="Z96" i="45" s="1"/>
  <c r="J96" i="45"/>
  <c r="H96" i="45"/>
  <c r="D96" i="45"/>
  <c r="L96" i="45" s="1"/>
  <c r="N96" i="45" s="1"/>
  <c r="B96" i="45"/>
  <c r="X95" i="45"/>
  <c r="Z95" i="45" s="1"/>
  <c r="N95" i="45"/>
  <c r="L95" i="45"/>
  <c r="B95" i="45"/>
  <c r="Z94" i="45"/>
  <c r="X94" i="45"/>
  <c r="T94" i="45"/>
  <c r="P94" i="45"/>
  <c r="L94" i="45"/>
  <c r="N94" i="45" s="1"/>
  <c r="H94" i="45"/>
  <c r="D94" i="45"/>
  <c r="B94" i="45"/>
  <c r="Z93" i="45"/>
  <c r="X93" i="45"/>
  <c r="L93" i="45"/>
  <c r="N93" i="45" s="1"/>
  <c r="J93" i="45"/>
  <c r="B93" i="45"/>
  <c r="Z92" i="45"/>
  <c r="X92" i="45"/>
  <c r="V92" i="45"/>
  <c r="N92" i="45"/>
  <c r="L92" i="45"/>
  <c r="J92" i="45"/>
  <c r="B92" i="45"/>
  <c r="T91" i="45"/>
  <c r="P91" i="45"/>
  <c r="H91" i="45"/>
  <c r="D91" i="45"/>
  <c r="B91" i="45"/>
  <c r="X90" i="45"/>
  <c r="Z90" i="45" s="1"/>
  <c r="V90" i="45"/>
  <c r="N90" i="45"/>
  <c r="L90" i="45"/>
  <c r="B90" i="45"/>
  <c r="X89" i="45"/>
  <c r="Z89" i="45" s="1"/>
  <c r="L89" i="45"/>
  <c r="N89" i="45" s="1"/>
  <c r="B89" i="45"/>
  <c r="Z88" i="45"/>
  <c r="X88" i="45"/>
  <c r="L88" i="45"/>
  <c r="N88" i="45" s="1"/>
  <c r="B88" i="45"/>
  <c r="X87" i="45"/>
  <c r="Z87" i="45" s="1"/>
  <c r="L87" i="45"/>
  <c r="N87" i="45" s="1"/>
  <c r="B87" i="45"/>
  <c r="X86" i="45"/>
  <c r="Z86" i="45" s="1"/>
  <c r="V86" i="45"/>
  <c r="N86" i="45"/>
  <c r="L86" i="45"/>
  <c r="B86" i="45"/>
  <c r="X85" i="45"/>
  <c r="Z85" i="45" s="1"/>
  <c r="L85" i="45"/>
  <c r="N85" i="45" s="1"/>
  <c r="B85" i="45"/>
  <c r="Z84" i="45"/>
  <c r="X84" i="45"/>
  <c r="L84" i="45"/>
  <c r="N84" i="45" s="1"/>
  <c r="B84" i="45"/>
  <c r="X83" i="45"/>
  <c r="Z83" i="45" s="1"/>
  <c r="L83" i="45"/>
  <c r="N83" i="45" s="1"/>
  <c r="B83" i="45"/>
  <c r="X82" i="45"/>
  <c r="Z82" i="45" s="1"/>
  <c r="V82" i="45"/>
  <c r="N82" i="45"/>
  <c r="L82" i="45"/>
  <c r="B82" i="45"/>
  <c r="X81" i="45"/>
  <c r="Z81" i="45" s="1"/>
  <c r="L81" i="45"/>
  <c r="N81" i="45" s="1"/>
  <c r="B81" i="45"/>
  <c r="T80" i="45"/>
  <c r="P80" i="45"/>
  <c r="X80" i="45" s="1"/>
  <c r="Z80" i="45" s="1"/>
  <c r="J80" i="45"/>
  <c r="H80" i="45"/>
  <c r="D80" i="45"/>
  <c r="L80" i="45" s="1"/>
  <c r="N80" i="45" s="1"/>
  <c r="B80" i="45"/>
  <c r="Z79" i="45"/>
  <c r="X79" i="45"/>
  <c r="N79" i="45"/>
  <c r="L79" i="45"/>
  <c r="B79" i="45"/>
  <c r="Z78" i="45"/>
  <c r="X78" i="45"/>
  <c r="T78" i="45"/>
  <c r="P78" i="45"/>
  <c r="N78" i="45"/>
  <c r="L78" i="45"/>
  <c r="H78" i="45"/>
  <c r="D78" i="45"/>
  <c r="B78" i="45"/>
  <c r="Z77" i="45"/>
  <c r="X77" i="45"/>
  <c r="L77" i="45"/>
  <c r="N77" i="45" s="1"/>
  <c r="B77" i="45"/>
  <c r="Z76" i="45"/>
  <c r="X76" i="45"/>
  <c r="V76" i="45"/>
  <c r="N76" i="45"/>
  <c r="L76" i="45"/>
  <c r="B76" i="45"/>
  <c r="Z75" i="45"/>
  <c r="X75" i="45"/>
  <c r="L75" i="45"/>
  <c r="N75" i="45" s="1"/>
  <c r="B75" i="45"/>
  <c r="Z74" i="45"/>
  <c r="X74" i="45"/>
  <c r="R74" i="45"/>
  <c r="L74" i="45"/>
  <c r="N74" i="45" s="1"/>
  <c r="J74" i="45"/>
  <c r="B74" i="45"/>
  <c r="T73" i="45"/>
  <c r="P73" i="45"/>
  <c r="H73" i="45"/>
  <c r="D73" i="45"/>
  <c r="B73" i="45"/>
  <c r="Z72" i="45"/>
  <c r="X72" i="45"/>
  <c r="V72" i="45"/>
  <c r="L72" i="45"/>
  <c r="N72" i="45" s="1"/>
  <c r="B72" i="45"/>
  <c r="X71" i="45"/>
  <c r="Z71" i="45" s="1"/>
  <c r="L71" i="45"/>
  <c r="N71" i="45" s="1"/>
  <c r="B71" i="45"/>
  <c r="X70" i="45"/>
  <c r="Z70" i="45" s="1"/>
  <c r="N70" i="45"/>
  <c r="L70" i="45"/>
  <c r="B70" i="45"/>
  <c r="X69" i="45"/>
  <c r="Z69" i="45" s="1"/>
  <c r="N69" i="45"/>
  <c r="L69" i="45"/>
  <c r="B69" i="45"/>
  <c r="T68" i="45"/>
  <c r="P68" i="45"/>
  <c r="X68" i="45" s="1"/>
  <c r="Z68" i="45" s="1"/>
  <c r="J68" i="45"/>
  <c r="H68" i="45"/>
  <c r="D68" i="45"/>
  <c r="L68" i="45" s="1"/>
  <c r="N68" i="45" s="1"/>
  <c r="B68" i="45"/>
  <c r="X67" i="45"/>
  <c r="Z67" i="45" s="1"/>
  <c r="N67" i="45"/>
  <c r="L67" i="45"/>
  <c r="B67" i="45"/>
  <c r="X66" i="45"/>
  <c r="Z66" i="45" s="1"/>
  <c r="T66" i="45"/>
  <c r="P66" i="45"/>
  <c r="N66" i="45"/>
  <c r="L66" i="45"/>
  <c r="H66" i="45"/>
  <c r="D66" i="45"/>
  <c r="B66" i="45"/>
  <c r="Z65" i="45"/>
  <c r="X65" i="45"/>
  <c r="L65" i="45"/>
  <c r="N65" i="45" s="1"/>
  <c r="J65" i="45"/>
  <c r="B65" i="45"/>
  <c r="T64" i="45"/>
  <c r="X64" i="45" s="1"/>
  <c r="P64" i="45"/>
  <c r="J64" i="45"/>
  <c r="H64" i="45"/>
  <c r="N64" i="45" s="1"/>
  <c r="D64" i="45"/>
  <c r="L64" i="45" s="1"/>
  <c r="B64" i="45"/>
  <c r="X63" i="45"/>
  <c r="Z63" i="45" s="1"/>
  <c r="V63" i="45"/>
  <c r="L63" i="45"/>
  <c r="N63" i="45" s="1"/>
  <c r="B63" i="45"/>
  <c r="V62" i="45"/>
  <c r="T62" i="45"/>
  <c r="P62" i="45"/>
  <c r="X62" i="45" s="1"/>
  <c r="Z62" i="45" s="1"/>
  <c r="H62" i="45"/>
  <c r="D62" i="45"/>
  <c r="L62" i="45" s="1"/>
  <c r="N62" i="45" s="1"/>
  <c r="B62" i="45"/>
  <c r="X61" i="45"/>
  <c r="Z61" i="45" s="1"/>
  <c r="N61" i="45"/>
  <c r="L61" i="45"/>
  <c r="B61" i="45"/>
  <c r="Z60" i="45"/>
  <c r="X60" i="45"/>
  <c r="T60" i="45"/>
  <c r="P60" i="45"/>
  <c r="N60" i="45"/>
  <c r="L60" i="45"/>
  <c r="H60" i="45"/>
  <c r="D60" i="45"/>
  <c r="B60" i="45"/>
  <c r="Z59" i="45"/>
  <c r="X59" i="45"/>
  <c r="L59" i="45"/>
  <c r="N59" i="45" s="1"/>
  <c r="J59" i="45"/>
  <c r="B59" i="45"/>
  <c r="T58" i="45"/>
  <c r="P58" i="45"/>
  <c r="N58" i="45"/>
  <c r="H58" i="45"/>
  <c r="L58" i="45" s="1"/>
  <c r="D58" i="45"/>
  <c r="B58" i="45"/>
  <c r="X57" i="45"/>
  <c r="Z57" i="45" s="1"/>
  <c r="V57" i="45"/>
  <c r="L57" i="45"/>
  <c r="N57" i="45" s="1"/>
  <c r="B57" i="45"/>
  <c r="T56" i="45"/>
  <c r="P56" i="45"/>
  <c r="X56" i="45" s="1"/>
  <c r="Z56" i="45" s="1"/>
  <c r="H56" i="45"/>
  <c r="D56" i="45"/>
  <c r="L56" i="45" s="1"/>
  <c r="N56" i="45" s="1"/>
  <c r="B56" i="45"/>
  <c r="X55" i="45"/>
  <c r="Z55" i="45" s="1"/>
  <c r="N55" i="45"/>
  <c r="L55" i="45"/>
  <c r="B55" i="45"/>
  <c r="Z54" i="45"/>
  <c r="X54" i="45"/>
  <c r="T54" i="45"/>
  <c r="P54" i="45"/>
  <c r="N54" i="45"/>
  <c r="L54" i="45"/>
  <c r="H54" i="45"/>
  <c r="D54" i="45"/>
  <c r="B54" i="45"/>
  <c r="Z53" i="45"/>
  <c r="X53" i="45"/>
  <c r="L53" i="45"/>
  <c r="N53" i="45" s="1"/>
  <c r="B53" i="45"/>
  <c r="T52" i="45"/>
  <c r="X52" i="45" s="1"/>
  <c r="P52" i="45"/>
  <c r="H52" i="45"/>
  <c r="D52" i="45"/>
  <c r="B52" i="45"/>
  <c r="X51" i="45"/>
  <c r="Z51" i="45" s="1"/>
  <c r="L51" i="45"/>
  <c r="N51" i="45" s="1"/>
  <c r="B51" i="45"/>
  <c r="V50" i="45"/>
  <c r="T50" i="45"/>
  <c r="P50" i="45"/>
  <c r="X50" i="45" s="1"/>
  <c r="Z50" i="45" s="1"/>
  <c r="J50" i="45"/>
  <c r="H50" i="45"/>
  <c r="D50" i="45"/>
  <c r="L50" i="45" s="1"/>
  <c r="N50" i="45" s="1"/>
  <c r="B50" i="45"/>
  <c r="X49" i="45"/>
  <c r="Z49" i="45" s="1"/>
  <c r="N49" i="45"/>
  <c r="L49" i="45"/>
  <c r="B49" i="45"/>
  <c r="X48" i="45"/>
  <c r="Z48" i="45" s="1"/>
  <c r="T48" i="45"/>
  <c r="P48" i="45"/>
  <c r="L48" i="45"/>
  <c r="N48" i="45" s="1"/>
  <c r="H48" i="45"/>
  <c r="D48" i="45"/>
  <c r="B48" i="45"/>
  <c r="Z47" i="45"/>
  <c r="X47" i="45"/>
  <c r="V47" i="45"/>
  <c r="N47" i="45"/>
  <c r="L47" i="45"/>
  <c r="B47" i="45"/>
  <c r="Z46" i="45"/>
  <c r="X46" i="45"/>
  <c r="V46" i="45"/>
  <c r="N46" i="45"/>
  <c r="L46" i="45"/>
  <c r="J46" i="45"/>
  <c r="B46" i="45"/>
  <c r="Z45" i="45"/>
  <c r="X45" i="45"/>
  <c r="L45" i="45"/>
  <c r="N45" i="45" s="1"/>
  <c r="J45" i="45"/>
  <c r="B45" i="45"/>
  <c r="Z44" i="45"/>
  <c r="X44" i="45"/>
  <c r="N44" i="45"/>
  <c r="L44" i="45"/>
  <c r="B44" i="45"/>
  <c r="Z43" i="45"/>
  <c r="X43" i="45"/>
  <c r="V43" i="45"/>
  <c r="N43" i="45"/>
  <c r="L43" i="45"/>
  <c r="B43" i="45"/>
  <c r="Z42" i="45"/>
  <c r="X42" i="45"/>
  <c r="L42" i="45"/>
  <c r="N42" i="45" s="1"/>
  <c r="J42" i="45"/>
  <c r="B42" i="45"/>
  <c r="Z41" i="45"/>
  <c r="X41" i="45"/>
  <c r="L41" i="45"/>
  <c r="N41" i="45" s="1"/>
  <c r="B41" i="45"/>
  <c r="Z40" i="45"/>
  <c r="X40" i="45"/>
  <c r="V40" i="45"/>
  <c r="N40" i="45"/>
  <c r="L40" i="45"/>
  <c r="B40" i="45"/>
  <c r="Z39" i="45"/>
  <c r="X39" i="45"/>
  <c r="L39" i="45"/>
  <c r="N39" i="45" s="1"/>
  <c r="B39" i="45"/>
  <c r="Z38" i="45"/>
  <c r="X38" i="45"/>
  <c r="V38" i="45"/>
  <c r="N38" i="45"/>
  <c r="L38" i="45"/>
  <c r="B38" i="45"/>
  <c r="T37" i="45"/>
  <c r="P37" i="45"/>
  <c r="H37" i="45"/>
  <c r="D37" i="45"/>
  <c r="L37" i="45" s="1"/>
  <c r="N37" i="45" s="1"/>
  <c r="B37" i="45"/>
  <c r="X36" i="45"/>
  <c r="Z36" i="45" s="1"/>
  <c r="N36" i="45"/>
  <c r="L36" i="45"/>
  <c r="B36" i="45"/>
  <c r="X35" i="45"/>
  <c r="Z35" i="45" s="1"/>
  <c r="V35" i="45"/>
  <c r="L35" i="45"/>
  <c r="N35" i="45" s="1"/>
  <c r="B35" i="45"/>
  <c r="X34" i="45"/>
  <c r="Z34" i="45" s="1"/>
  <c r="V34" i="45"/>
  <c r="N34" i="45"/>
  <c r="L34" i="45"/>
  <c r="B34" i="45"/>
  <c r="Z33" i="45"/>
  <c r="X33" i="45"/>
  <c r="N33" i="45"/>
  <c r="L33" i="45"/>
  <c r="B33" i="45"/>
  <c r="Z32" i="45"/>
  <c r="X32" i="45"/>
  <c r="V32" i="45"/>
  <c r="N32" i="45"/>
  <c r="L32" i="45"/>
  <c r="B32" i="45"/>
  <c r="X31" i="45"/>
  <c r="Z31" i="45" s="1"/>
  <c r="V31" i="45"/>
  <c r="L31" i="45"/>
  <c r="N31" i="45" s="1"/>
  <c r="B31" i="45"/>
  <c r="X30" i="45"/>
  <c r="Z30" i="45" s="1"/>
  <c r="V30" i="45"/>
  <c r="N30" i="45"/>
  <c r="L30" i="45"/>
  <c r="B30" i="45"/>
  <c r="X29" i="45"/>
  <c r="Z29" i="45" s="1"/>
  <c r="V29" i="45"/>
  <c r="L29" i="45"/>
  <c r="N29" i="45" s="1"/>
  <c r="B29" i="45"/>
  <c r="X28" i="45"/>
  <c r="Z28" i="45" s="1"/>
  <c r="V28" i="45"/>
  <c r="N28" i="45"/>
  <c r="L28" i="45"/>
  <c r="B28" i="45"/>
  <c r="X27" i="45"/>
  <c r="Z27" i="45" s="1"/>
  <c r="V27" i="45"/>
  <c r="L27" i="45"/>
  <c r="N27" i="45" s="1"/>
  <c r="B27" i="45"/>
  <c r="X26" i="45"/>
  <c r="V26" i="45"/>
  <c r="T26" i="45"/>
  <c r="R26" i="45"/>
  <c r="P26" i="45"/>
  <c r="H26" i="45"/>
  <c r="D26" i="45"/>
  <c r="L26" i="45" s="1"/>
  <c r="B26" i="45"/>
  <c r="T25" i="45"/>
  <c r="R25" i="45"/>
  <c r="P25" i="45"/>
  <c r="L25" i="45"/>
  <c r="H25" i="45"/>
  <c r="D25" i="45"/>
  <c r="H23" i="45"/>
  <c r="Z21" i="45"/>
  <c r="X21" i="45"/>
  <c r="N21" i="45"/>
  <c r="L21" i="45"/>
  <c r="B21" i="45"/>
  <c r="Z20" i="45"/>
  <c r="X20" i="45"/>
  <c r="V20" i="45"/>
  <c r="N20" i="45"/>
  <c r="L20" i="45"/>
  <c r="B20" i="45"/>
  <c r="X19" i="45"/>
  <c r="Z19" i="45" s="1"/>
  <c r="N19" i="45"/>
  <c r="L19" i="45"/>
  <c r="J19" i="45"/>
  <c r="B19" i="45"/>
  <c r="Z18" i="45"/>
  <c r="X18" i="45"/>
  <c r="T18" i="45"/>
  <c r="P18" i="45"/>
  <c r="H18" i="45"/>
  <c r="D18" i="45"/>
  <c r="Z16" i="45"/>
  <c r="X16" i="45"/>
  <c r="P16" i="45"/>
  <c r="N16" i="45"/>
  <c r="L16" i="45"/>
  <c r="D16" i="45"/>
  <c r="B16" i="45"/>
  <c r="Z15" i="45"/>
  <c r="P15" i="45"/>
  <c r="P12" i="45" s="1"/>
  <c r="R93" i="45" s="1"/>
  <c r="N15" i="45"/>
  <c r="D15" i="45"/>
  <c r="L15" i="45" s="1"/>
  <c r="B15" i="45"/>
  <c r="Z14" i="45"/>
  <c r="P14" i="45"/>
  <c r="X14" i="45" s="1"/>
  <c r="D14" i="45"/>
  <c r="L14" i="45" s="1"/>
  <c r="N14" i="45" s="1"/>
  <c r="B14" i="45"/>
  <c r="Z13" i="45"/>
  <c r="X13" i="45"/>
  <c r="P13" i="45"/>
  <c r="N13" i="45"/>
  <c r="L13" i="45"/>
  <c r="D13" i="45"/>
  <c r="B13" i="45"/>
  <c r="T12" i="45"/>
  <c r="V88" i="45" s="1"/>
  <c r="H12" i="45"/>
  <c r="J62" i="45" s="1"/>
  <c r="D4" i="45"/>
  <c r="X122" i="42"/>
  <c r="Z122" i="42" s="1"/>
  <c r="N122" i="42"/>
  <c r="L122" i="42"/>
  <c r="Z118" i="42"/>
  <c r="X118" i="42"/>
  <c r="P118" i="42"/>
  <c r="N118" i="42"/>
  <c r="L118" i="42"/>
  <c r="D118" i="42"/>
  <c r="B118" i="42"/>
  <c r="Z117" i="42"/>
  <c r="X117" i="42"/>
  <c r="P117" i="42"/>
  <c r="L117" i="42"/>
  <c r="N117" i="42" s="1"/>
  <c r="D117" i="42"/>
  <c r="B117" i="42"/>
  <c r="X116" i="42"/>
  <c r="Z116" i="42" s="1"/>
  <c r="P116" i="42"/>
  <c r="L116" i="42"/>
  <c r="N116" i="42" s="1"/>
  <c r="D116" i="42"/>
  <c r="B116" i="42"/>
  <c r="P115" i="42"/>
  <c r="X115" i="42" s="1"/>
  <c r="Z115" i="42" s="1"/>
  <c r="D115" i="42"/>
  <c r="L115" i="42" s="1"/>
  <c r="N115" i="42" s="1"/>
  <c r="B115" i="42"/>
  <c r="T114" i="42"/>
  <c r="P114" i="42"/>
  <c r="X114" i="42" s="1"/>
  <c r="H114" i="42"/>
  <c r="Z112" i="42"/>
  <c r="X112" i="42"/>
  <c r="L112" i="42"/>
  <c r="N112" i="42" s="1"/>
  <c r="B112" i="42"/>
  <c r="T111" i="42"/>
  <c r="P111" i="42"/>
  <c r="X111" i="42" s="1"/>
  <c r="Z111" i="42" s="1"/>
  <c r="J111" i="42"/>
  <c r="H111" i="42"/>
  <c r="D111" i="42"/>
  <c r="L111" i="42" s="1"/>
  <c r="N111" i="42" s="1"/>
  <c r="B111" i="42"/>
  <c r="Z110" i="42"/>
  <c r="X110" i="42"/>
  <c r="N110" i="42"/>
  <c r="L110" i="42"/>
  <c r="F110" i="42"/>
  <c r="B110" i="42"/>
  <c r="Z109" i="42"/>
  <c r="X109" i="42"/>
  <c r="N109" i="42"/>
  <c r="L109" i="42"/>
  <c r="B109" i="42"/>
  <c r="Z108" i="42"/>
  <c r="X108" i="42"/>
  <c r="N108" i="42"/>
  <c r="L108" i="42"/>
  <c r="B108" i="42"/>
  <c r="Z107" i="42"/>
  <c r="X107" i="42"/>
  <c r="T107" i="42"/>
  <c r="P107" i="42"/>
  <c r="H107" i="42"/>
  <c r="N107" i="42" s="1"/>
  <c r="D107" i="42"/>
  <c r="L107" i="42" s="1"/>
  <c r="B107" i="42"/>
  <c r="Z106" i="42"/>
  <c r="X106" i="42"/>
  <c r="N106" i="42"/>
  <c r="L106" i="42"/>
  <c r="B106" i="42"/>
  <c r="X105" i="42"/>
  <c r="T105" i="42"/>
  <c r="Z105" i="42" s="1"/>
  <c r="P105" i="42"/>
  <c r="N105" i="42"/>
  <c r="L105" i="42"/>
  <c r="H105" i="42"/>
  <c r="D105" i="42"/>
  <c r="B105" i="42"/>
  <c r="Z104" i="42"/>
  <c r="X104" i="42"/>
  <c r="L104" i="42"/>
  <c r="N104" i="42" s="1"/>
  <c r="B104" i="42"/>
  <c r="Z103" i="42"/>
  <c r="X103" i="42"/>
  <c r="L103" i="42"/>
  <c r="N103" i="42" s="1"/>
  <c r="J103" i="42"/>
  <c r="B103" i="42"/>
  <c r="T102" i="42"/>
  <c r="Z102" i="42" s="1"/>
  <c r="P102" i="42"/>
  <c r="X102" i="42" s="1"/>
  <c r="H102" i="42"/>
  <c r="D102" i="42"/>
  <c r="B102" i="42"/>
  <c r="X101" i="42"/>
  <c r="Z101" i="42" s="1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B99" i="42"/>
  <c r="Z98" i="42"/>
  <c r="X98" i="42"/>
  <c r="N98" i="42"/>
  <c r="L98" i="42"/>
  <c r="B98" i="42"/>
  <c r="Z97" i="42"/>
  <c r="X97" i="42"/>
  <c r="N97" i="42"/>
  <c r="L97" i="42"/>
  <c r="B97" i="42"/>
  <c r="X96" i="42"/>
  <c r="Z96" i="42" s="1"/>
  <c r="L96" i="42"/>
  <c r="N96" i="42" s="1"/>
  <c r="B96" i="42"/>
  <c r="X95" i="42"/>
  <c r="Z95" i="42" s="1"/>
  <c r="N95" i="42"/>
  <c r="L95" i="42"/>
  <c r="B95" i="42"/>
  <c r="Z94" i="42"/>
  <c r="X94" i="42"/>
  <c r="L94" i="42"/>
  <c r="N94" i="42" s="1"/>
  <c r="B94" i="42"/>
  <c r="X93" i="42"/>
  <c r="Z93" i="42" s="1"/>
  <c r="L93" i="42"/>
  <c r="N93" i="42" s="1"/>
  <c r="B93" i="42"/>
  <c r="Z92" i="42"/>
  <c r="X92" i="42"/>
  <c r="N92" i="42"/>
  <c r="L92" i="42"/>
  <c r="B92" i="42"/>
  <c r="X91" i="42"/>
  <c r="Z91" i="42" s="1"/>
  <c r="N91" i="42"/>
  <c r="L91" i="42"/>
  <c r="B91" i="42"/>
  <c r="T90" i="42"/>
  <c r="P90" i="42"/>
  <c r="X90" i="42" s="1"/>
  <c r="Z90" i="42" s="1"/>
  <c r="L90" i="42"/>
  <c r="N90" i="42" s="1"/>
  <c r="H90" i="42"/>
  <c r="D90" i="42"/>
  <c r="B90" i="42"/>
  <c r="X89" i="42"/>
  <c r="Z89" i="42" s="1"/>
  <c r="N89" i="42"/>
  <c r="L89" i="42"/>
  <c r="J89" i="42"/>
  <c r="B89" i="42"/>
  <c r="X88" i="42"/>
  <c r="Z88" i="42" s="1"/>
  <c r="N88" i="42"/>
  <c r="L88" i="42"/>
  <c r="B88" i="42"/>
  <c r="Z87" i="42"/>
  <c r="X87" i="42"/>
  <c r="T87" i="42"/>
  <c r="P87" i="42"/>
  <c r="L87" i="42"/>
  <c r="H87" i="42"/>
  <c r="N87" i="42" s="1"/>
  <c r="D87" i="42"/>
  <c r="B87" i="42"/>
  <c r="Z86" i="42"/>
  <c r="X86" i="42"/>
  <c r="N86" i="42"/>
  <c r="L86" i="42"/>
  <c r="B86" i="42"/>
  <c r="Z85" i="42"/>
  <c r="X85" i="42"/>
  <c r="L85" i="42"/>
  <c r="N85" i="42" s="1"/>
  <c r="J85" i="42"/>
  <c r="B85" i="42"/>
  <c r="Z84" i="42"/>
  <c r="X84" i="42"/>
  <c r="L84" i="42"/>
  <c r="N84" i="42" s="1"/>
  <c r="B84" i="42"/>
  <c r="Z83" i="42"/>
  <c r="X83" i="42"/>
  <c r="N83" i="42"/>
  <c r="L83" i="42"/>
  <c r="J83" i="42"/>
  <c r="B83" i="42"/>
  <c r="Z82" i="42"/>
  <c r="X82" i="42"/>
  <c r="N82" i="42"/>
  <c r="L82" i="42"/>
  <c r="B82" i="42"/>
  <c r="Z81" i="42"/>
  <c r="T81" i="42"/>
  <c r="P81" i="42"/>
  <c r="X81" i="42" s="1"/>
  <c r="H81" i="42"/>
  <c r="D81" i="42"/>
  <c r="L81" i="42" s="1"/>
  <c r="N81" i="42" s="1"/>
  <c r="B81" i="42"/>
  <c r="Z80" i="42"/>
  <c r="X80" i="42"/>
  <c r="N80" i="42"/>
  <c r="L80" i="42"/>
  <c r="B80" i="42"/>
  <c r="Z79" i="42"/>
  <c r="X79" i="42"/>
  <c r="V79" i="42"/>
  <c r="N79" i="42"/>
  <c r="L79" i="42"/>
  <c r="B79" i="42"/>
  <c r="Z78" i="42"/>
  <c r="T78" i="42"/>
  <c r="P78" i="42"/>
  <c r="X78" i="42" s="1"/>
  <c r="L78" i="42"/>
  <c r="H78" i="42"/>
  <c r="N78" i="42" s="1"/>
  <c r="D78" i="42"/>
  <c r="B78" i="42"/>
  <c r="X77" i="42"/>
  <c r="Z77" i="42" s="1"/>
  <c r="N77" i="42"/>
  <c r="L77" i="42"/>
  <c r="J77" i="42"/>
  <c r="B77" i="42"/>
  <c r="X76" i="42"/>
  <c r="Z76" i="42" s="1"/>
  <c r="N76" i="42"/>
  <c r="L76" i="42"/>
  <c r="B76" i="42"/>
  <c r="Z75" i="42"/>
  <c r="X75" i="42"/>
  <c r="N75" i="42"/>
  <c r="L75" i="42"/>
  <c r="B75" i="42"/>
  <c r="Z74" i="42"/>
  <c r="X74" i="42"/>
  <c r="N74" i="42"/>
  <c r="L74" i="42"/>
  <c r="B74" i="42"/>
  <c r="X73" i="42"/>
  <c r="T73" i="42"/>
  <c r="Z73" i="42" s="1"/>
  <c r="P73" i="42"/>
  <c r="N73" i="42"/>
  <c r="L73" i="42"/>
  <c r="H73" i="42"/>
  <c r="D73" i="42"/>
  <c r="B73" i="42"/>
  <c r="Z72" i="42"/>
  <c r="X72" i="42"/>
  <c r="L72" i="42"/>
  <c r="N72" i="42" s="1"/>
  <c r="B72" i="42"/>
  <c r="T71" i="42"/>
  <c r="P71" i="42"/>
  <c r="X71" i="42" s="1"/>
  <c r="Z71" i="42" s="1"/>
  <c r="N71" i="42"/>
  <c r="J71" i="42"/>
  <c r="H71" i="42"/>
  <c r="D71" i="42"/>
  <c r="L71" i="42" s="1"/>
  <c r="B71" i="42"/>
  <c r="Z70" i="42"/>
  <c r="X70" i="42"/>
  <c r="L70" i="42"/>
  <c r="N70" i="42" s="1"/>
  <c r="B70" i="42"/>
  <c r="T69" i="42"/>
  <c r="P69" i="42"/>
  <c r="X69" i="42" s="1"/>
  <c r="L69" i="42"/>
  <c r="N69" i="42" s="1"/>
  <c r="J69" i="42"/>
  <c r="H69" i="42"/>
  <c r="D69" i="42"/>
  <c r="B69" i="42"/>
  <c r="X68" i="42"/>
  <c r="Z68" i="42" s="1"/>
  <c r="N68" i="42"/>
  <c r="L68" i="42"/>
  <c r="B68" i="42"/>
  <c r="Z67" i="42"/>
  <c r="X67" i="42"/>
  <c r="T67" i="42"/>
  <c r="P67" i="42"/>
  <c r="L67" i="42"/>
  <c r="H67" i="42"/>
  <c r="N67" i="42" s="1"/>
  <c r="D67" i="42"/>
  <c r="B67" i="42"/>
  <c r="Z66" i="42"/>
  <c r="X66" i="42"/>
  <c r="N66" i="42"/>
  <c r="L66" i="42"/>
  <c r="J66" i="42"/>
  <c r="B66" i="42"/>
  <c r="Z65" i="42"/>
  <c r="V65" i="42"/>
  <c r="T65" i="42"/>
  <c r="P65" i="42"/>
  <c r="X65" i="42" s="1"/>
  <c r="N65" i="42"/>
  <c r="H65" i="42"/>
  <c r="D65" i="42"/>
  <c r="L65" i="42" s="1"/>
  <c r="B65" i="42"/>
  <c r="Z64" i="42"/>
  <c r="X64" i="42"/>
  <c r="N64" i="42"/>
  <c r="L64" i="42"/>
  <c r="B64" i="42"/>
  <c r="X63" i="42"/>
  <c r="T63" i="42"/>
  <c r="Z63" i="42" s="1"/>
  <c r="P63" i="42"/>
  <c r="J63" i="42"/>
  <c r="H63" i="42"/>
  <c r="N63" i="42" s="1"/>
  <c r="D63" i="42"/>
  <c r="L63" i="42" s="1"/>
  <c r="B63" i="42"/>
  <c r="X62" i="42"/>
  <c r="Z62" i="42" s="1"/>
  <c r="N62" i="42"/>
  <c r="L62" i="42"/>
  <c r="B62" i="42"/>
  <c r="X61" i="42"/>
  <c r="T61" i="42"/>
  <c r="Z61" i="42" s="1"/>
  <c r="P61" i="42"/>
  <c r="N61" i="42"/>
  <c r="L61" i="42"/>
  <c r="H61" i="42"/>
  <c r="D61" i="42"/>
  <c r="B61" i="42"/>
  <c r="Z60" i="42"/>
  <c r="X60" i="42"/>
  <c r="N60" i="42"/>
  <c r="L60" i="42"/>
  <c r="B60" i="42"/>
  <c r="T59" i="42"/>
  <c r="P59" i="42"/>
  <c r="X59" i="42" s="1"/>
  <c r="Z59" i="42" s="1"/>
  <c r="N59" i="42"/>
  <c r="J59" i="42"/>
  <c r="H59" i="42"/>
  <c r="D59" i="42"/>
  <c r="L59" i="42" s="1"/>
  <c r="B59" i="42"/>
  <c r="Z58" i="42"/>
  <c r="X58" i="42"/>
  <c r="L58" i="42"/>
  <c r="N58" i="42" s="1"/>
  <c r="F58" i="42"/>
  <c r="B58" i="42"/>
  <c r="X57" i="42"/>
  <c r="Z57" i="42" s="1"/>
  <c r="V57" i="42"/>
  <c r="L57" i="42"/>
  <c r="N57" i="42" s="1"/>
  <c r="B57" i="42"/>
  <c r="Z56" i="42"/>
  <c r="X56" i="42"/>
  <c r="N56" i="42"/>
  <c r="L56" i="42"/>
  <c r="B56" i="42"/>
  <c r="X55" i="42"/>
  <c r="V55" i="42"/>
  <c r="T55" i="42"/>
  <c r="Z55" i="42" s="1"/>
  <c r="P55" i="42"/>
  <c r="J55" i="42"/>
  <c r="H55" i="42"/>
  <c r="D55" i="42"/>
  <c r="L55" i="42" s="1"/>
  <c r="B55" i="42"/>
  <c r="X54" i="42"/>
  <c r="Z54" i="42" s="1"/>
  <c r="N54" i="42"/>
  <c r="L54" i="42"/>
  <c r="F54" i="42"/>
  <c r="B54" i="42"/>
  <c r="X53" i="42"/>
  <c r="T53" i="42"/>
  <c r="Z53" i="42" s="1"/>
  <c r="P53" i="42"/>
  <c r="N53" i="42"/>
  <c r="L53" i="42"/>
  <c r="H53" i="42"/>
  <c r="D53" i="42"/>
  <c r="B53" i="42"/>
  <c r="Z52" i="42"/>
  <c r="X52" i="42"/>
  <c r="L52" i="42"/>
  <c r="N52" i="42" s="1"/>
  <c r="B52" i="42"/>
  <c r="Z51" i="42"/>
  <c r="T51" i="42"/>
  <c r="P51" i="42"/>
  <c r="X51" i="42" s="1"/>
  <c r="N51" i="42"/>
  <c r="J51" i="42"/>
  <c r="H51" i="42"/>
  <c r="D51" i="42"/>
  <c r="L51" i="42" s="1"/>
  <c r="B51" i="42"/>
  <c r="Z50" i="42"/>
  <c r="X50" i="42"/>
  <c r="L50" i="42"/>
  <c r="N50" i="42" s="1"/>
  <c r="B50" i="42"/>
  <c r="V49" i="42"/>
  <c r="T49" i="42"/>
  <c r="Z49" i="42" s="1"/>
  <c r="P49" i="42"/>
  <c r="X49" i="42" s="1"/>
  <c r="L49" i="42"/>
  <c r="J49" i="42"/>
  <c r="H49" i="42"/>
  <c r="N49" i="42" s="1"/>
  <c r="F49" i="42"/>
  <c r="D49" i="42"/>
  <c r="B49" i="42"/>
  <c r="Z48" i="42"/>
  <c r="X48" i="42"/>
  <c r="N48" i="42"/>
  <c r="L48" i="42"/>
  <c r="J48" i="42"/>
  <c r="B48" i="42"/>
  <c r="Z47" i="42"/>
  <c r="X47" i="42"/>
  <c r="N47" i="42"/>
  <c r="L47" i="42"/>
  <c r="B47" i="42"/>
  <c r="X46" i="42"/>
  <c r="Z46" i="42" s="1"/>
  <c r="N46" i="42"/>
  <c r="L46" i="42"/>
  <c r="B46" i="42"/>
  <c r="X45" i="42"/>
  <c r="Z45" i="42" s="1"/>
  <c r="N45" i="42"/>
  <c r="L45" i="42"/>
  <c r="J45" i="42"/>
  <c r="B45" i="42"/>
  <c r="Z44" i="42"/>
  <c r="X44" i="42"/>
  <c r="N44" i="42"/>
  <c r="L44" i="42"/>
  <c r="J44" i="42"/>
  <c r="B44" i="42"/>
  <c r="Z43" i="42"/>
  <c r="X43" i="42"/>
  <c r="N43" i="42"/>
  <c r="L43" i="42"/>
  <c r="B43" i="42"/>
  <c r="X42" i="42"/>
  <c r="Z42" i="42" s="1"/>
  <c r="N42" i="42"/>
  <c r="L42" i="42"/>
  <c r="F42" i="42"/>
  <c r="B42" i="42"/>
  <c r="Z41" i="42"/>
  <c r="X41" i="42"/>
  <c r="N41" i="42"/>
  <c r="L41" i="42"/>
  <c r="J41" i="42"/>
  <c r="B41" i="42"/>
  <c r="X40" i="42"/>
  <c r="Z40" i="42" s="1"/>
  <c r="N40" i="42"/>
  <c r="L40" i="42"/>
  <c r="J40" i="42"/>
  <c r="F40" i="42"/>
  <c r="B40" i="42"/>
  <c r="Z39" i="42"/>
  <c r="X39" i="42"/>
  <c r="N39" i="42"/>
  <c r="L39" i="42"/>
  <c r="B39" i="42"/>
  <c r="T38" i="42"/>
  <c r="P38" i="42"/>
  <c r="L38" i="42"/>
  <c r="N38" i="42" s="1"/>
  <c r="H38" i="42"/>
  <c r="D38" i="42"/>
  <c r="B38" i="42"/>
  <c r="Z37" i="42"/>
  <c r="X37" i="42"/>
  <c r="L37" i="42"/>
  <c r="N37" i="42" s="1"/>
  <c r="J37" i="42"/>
  <c r="B37" i="42"/>
  <c r="Z36" i="42"/>
  <c r="X36" i="42"/>
  <c r="L36" i="42"/>
  <c r="N36" i="42" s="1"/>
  <c r="J36" i="42"/>
  <c r="B36" i="42"/>
  <c r="Z35" i="42"/>
  <c r="X35" i="42"/>
  <c r="L35" i="42"/>
  <c r="N35" i="42" s="1"/>
  <c r="J35" i="42"/>
  <c r="B35" i="42"/>
  <c r="Z34" i="42"/>
  <c r="X34" i="42"/>
  <c r="N34" i="42"/>
  <c r="L34" i="42"/>
  <c r="J34" i="42"/>
  <c r="B34" i="42"/>
  <c r="Z33" i="42"/>
  <c r="X33" i="42"/>
  <c r="L33" i="42"/>
  <c r="N33" i="42" s="1"/>
  <c r="J33" i="42"/>
  <c r="B33" i="42"/>
  <c r="Z32" i="42"/>
  <c r="X32" i="42"/>
  <c r="L32" i="42"/>
  <c r="N32" i="42" s="1"/>
  <c r="J32" i="42"/>
  <c r="B32" i="42"/>
  <c r="Z31" i="42"/>
  <c r="X31" i="42"/>
  <c r="L31" i="42"/>
  <c r="N31" i="42" s="1"/>
  <c r="J31" i="42"/>
  <c r="B31" i="42"/>
  <c r="Z30" i="42"/>
  <c r="X30" i="42"/>
  <c r="N30" i="42"/>
  <c r="L30" i="42"/>
  <c r="J30" i="42"/>
  <c r="B30" i="42"/>
  <c r="Z29" i="42"/>
  <c r="X29" i="42"/>
  <c r="L29" i="42"/>
  <c r="N29" i="42" s="1"/>
  <c r="J29" i="42"/>
  <c r="B29" i="42"/>
  <c r="T28" i="42"/>
  <c r="P28" i="42"/>
  <c r="X28" i="42" s="1"/>
  <c r="H28" i="42"/>
  <c r="D28" i="42"/>
  <c r="L28" i="42" s="1"/>
  <c r="B28" i="42"/>
  <c r="T27" i="42"/>
  <c r="Z27" i="42" s="1"/>
  <c r="P27" i="42"/>
  <c r="X27" i="42" s="1"/>
  <c r="J27" i="42"/>
  <c r="H27" i="42"/>
  <c r="N27" i="42" s="1"/>
  <c r="D27" i="42"/>
  <c r="L27" i="42" s="1"/>
  <c r="J25" i="42"/>
  <c r="H25" i="42"/>
  <c r="Z23" i="42"/>
  <c r="X23" i="42"/>
  <c r="N23" i="42"/>
  <c r="L23" i="42"/>
  <c r="B23" i="42"/>
  <c r="Z22" i="42"/>
  <c r="X22" i="42"/>
  <c r="V22" i="42"/>
  <c r="N22" i="42"/>
  <c r="L22" i="42"/>
  <c r="F22" i="42"/>
  <c r="B22" i="42"/>
  <c r="X21" i="42"/>
  <c r="Z21" i="42" s="1"/>
  <c r="L21" i="42"/>
  <c r="N21" i="42" s="1"/>
  <c r="B21" i="42"/>
  <c r="X20" i="42"/>
  <c r="Z20" i="42" s="1"/>
  <c r="T20" i="42"/>
  <c r="P20" i="42"/>
  <c r="J20" i="42"/>
  <c r="H20" i="42"/>
  <c r="D20" i="42"/>
  <c r="L20" i="42" s="1"/>
  <c r="N20" i="42" s="1"/>
  <c r="Z18" i="42"/>
  <c r="X18" i="42"/>
  <c r="P18" i="42"/>
  <c r="N18" i="42"/>
  <c r="D18" i="42"/>
  <c r="L18" i="42" s="1"/>
  <c r="B18" i="42"/>
  <c r="X17" i="42"/>
  <c r="Z17" i="42" s="1"/>
  <c r="P17" i="42"/>
  <c r="L17" i="42"/>
  <c r="N17" i="42" s="1"/>
  <c r="D17" i="42"/>
  <c r="B17" i="42"/>
  <c r="Z16" i="42"/>
  <c r="P16" i="42"/>
  <c r="X16" i="42" s="1"/>
  <c r="N16" i="42"/>
  <c r="L16" i="42"/>
  <c r="D16" i="42"/>
  <c r="B16" i="42"/>
  <c r="Z15" i="42"/>
  <c r="P15" i="42"/>
  <c r="X15" i="42" s="1"/>
  <c r="N15" i="42"/>
  <c r="L15" i="42"/>
  <c r="D15" i="42"/>
  <c r="B15" i="42"/>
  <c r="Z14" i="42"/>
  <c r="X14" i="42"/>
  <c r="P14" i="42"/>
  <c r="N14" i="42"/>
  <c r="L14" i="42"/>
  <c r="D14" i="42"/>
  <c r="B14" i="42"/>
  <c r="P13" i="42"/>
  <c r="D13" i="42"/>
  <c r="L13" i="42" s="1"/>
  <c r="N13" i="42" s="1"/>
  <c r="B13" i="42"/>
  <c r="T12" i="42"/>
  <c r="V63" i="42" s="1"/>
  <c r="L12" i="42"/>
  <c r="N12" i="42" s="1"/>
  <c r="H12" i="42"/>
  <c r="J112" i="42" s="1"/>
  <c r="D12" i="42"/>
  <c r="F88" i="42" s="1"/>
  <c r="D4" i="42"/>
  <c r="Z129" i="39"/>
  <c r="X129" i="39"/>
  <c r="L129" i="39"/>
  <c r="N129" i="39" s="1"/>
  <c r="J129" i="39"/>
  <c r="Z125" i="39"/>
  <c r="P125" i="39"/>
  <c r="X125" i="39" s="1"/>
  <c r="N125" i="39"/>
  <c r="D125" i="39"/>
  <c r="L125" i="39" s="1"/>
  <c r="B125" i="39"/>
  <c r="X124" i="39"/>
  <c r="Z124" i="39" s="1"/>
  <c r="P124" i="39"/>
  <c r="N124" i="39"/>
  <c r="L124" i="39"/>
  <c r="D124" i="39"/>
  <c r="B124" i="39"/>
  <c r="Z123" i="39"/>
  <c r="X123" i="39"/>
  <c r="P123" i="39"/>
  <c r="L123" i="39"/>
  <c r="N123" i="39" s="1"/>
  <c r="D123" i="39"/>
  <c r="D121" i="39" s="1"/>
  <c r="L121" i="39" s="1"/>
  <c r="B123" i="39"/>
  <c r="Z122" i="39"/>
  <c r="X122" i="39"/>
  <c r="P122" i="39"/>
  <c r="L122" i="39"/>
  <c r="N122" i="39" s="1"/>
  <c r="D122" i="39"/>
  <c r="B122" i="39"/>
  <c r="T121" i="39"/>
  <c r="P121" i="39"/>
  <c r="X121" i="39" s="1"/>
  <c r="H121" i="39"/>
  <c r="X119" i="39"/>
  <c r="Z119" i="39" s="1"/>
  <c r="N119" i="39"/>
  <c r="L119" i="39"/>
  <c r="B119" i="39"/>
  <c r="T118" i="39"/>
  <c r="R118" i="39"/>
  <c r="P118" i="39"/>
  <c r="X118" i="39" s="1"/>
  <c r="Z118" i="39" s="1"/>
  <c r="H118" i="39"/>
  <c r="D118" i="39"/>
  <c r="L118" i="39" s="1"/>
  <c r="N118" i="39" s="1"/>
  <c r="B118" i="39"/>
  <c r="Z117" i="39"/>
  <c r="X117" i="39"/>
  <c r="N117" i="39"/>
  <c r="L117" i="39"/>
  <c r="F117" i="39"/>
  <c r="B117" i="39"/>
  <c r="Z116" i="39"/>
  <c r="X116" i="39"/>
  <c r="N116" i="39"/>
  <c r="L116" i="39"/>
  <c r="B116" i="39"/>
  <c r="X115" i="39"/>
  <c r="Z115" i="39" s="1"/>
  <c r="N115" i="39"/>
  <c r="L115" i="39"/>
  <c r="B115" i="39"/>
  <c r="T114" i="39"/>
  <c r="P114" i="39"/>
  <c r="N114" i="39"/>
  <c r="L114" i="39"/>
  <c r="H114" i="39"/>
  <c r="D114" i="39"/>
  <c r="B114" i="39"/>
  <c r="Z113" i="39"/>
  <c r="X113" i="39"/>
  <c r="N113" i="39"/>
  <c r="L113" i="39"/>
  <c r="F113" i="39"/>
  <c r="B113" i="39"/>
  <c r="T112" i="39"/>
  <c r="Z112" i="39" s="1"/>
  <c r="P112" i="39"/>
  <c r="X112" i="39" s="1"/>
  <c r="H112" i="39"/>
  <c r="D112" i="39"/>
  <c r="B112" i="39"/>
  <c r="X111" i="39"/>
  <c r="Z111" i="39" s="1"/>
  <c r="N111" i="39"/>
  <c r="L111" i="39"/>
  <c r="B111" i="39"/>
  <c r="Z110" i="39"/>
  <c r="X110" i="39"/>
  <c r="N110" i="39"/>
  <c r="L110" i="39"/>
  <c r="B110" i="39"/>
  <c r="T109" i="39"/>
  <c r="P109" i="39"/>
  <c r="X109" i="39" s="1"/>
  <c r="L109" i="39"/>
  <c r="H109" i="39"/>
  <c r="N109" i="39" s="1"/>
  <c r="D109" i="39"/>
  <c r="B109" i="39"/>
  <c r="X108" i="39"/>
  <c r="Z108" i="39" s="1"/>
  <c r="N108" i="39"/>
  <c r="L108" i="39"/>
  <c r="J108" i="39"/>
  <c r="B108" i="39"/>
  <c r="X107" i="39"/>
  <c r="Z107" i="39" s="1"/>
  <c r="N107" i="39"/>
  <c r="L107" i="39"/>
  <c r="B107" i="39"/>
  <c r="Z106" i="39"/>
  <c r="X106" i="39"/>
  <c r="N106" i="39"/>
  <c r="L106" i="39"/>
  <c r="B106" i="39"/>
  <c r="Z105" i="39"/>
  <c r="X105" i="39"/>
  <c r="N105" i="39"/>
  <c r="L105" i="39"/>
  <c r="B105" i="39"/>
  <c r="Z104" i="39"/>
  <c r="X104" i="39"/>
  <c r="N104" i="39"/>
  <c r="L104" i="39"/>
  <c r="F104" i="39"/>
  <c r="B104" i="39"/>
  <c r="X103" i="39"/>
  <c r="Z103" i="39" s="1"/>
  <c r="L103" i="39"/>
  <c r="N103" i="39" s="1"/>
  <c r="B103" i="39"/>
  <c r="X102" i="39"/>
  <c r="Z102" i="39" s="1"/>
  <c r="N102" i="39"/>
  <c r="L102" i="39"/>
  <c r="B102" i="39"/>
  <c r="X101" i="39"/>
  <c r="Z101" i="39" s="1"/>
  <c r="N101" i="39"/>
  <c r="L101" i="39"/>
  <c r="B101" i="39"/>
  <c r="X100" i="39"/>
  <c r="Z100" i="39" s="1"/>
  <c r="N100" i="39"/>
  <c r="L100" i="39"/>
  <c r="B100" i="39"/>
  <c r="Z99" i="39"/>
  <c r="X99" i="39"/>
  <c r="L99" i="39"/>
  <c r="N99" i="39" s="1"/>
  <c r="B99" i="39"/>
  <c r="X98" i="39"/>
  <c r="Z98" i="39" s="1"/>
  <c r="N98" i="39"/>
  <c r="L98" i="39"/>
  <c r="B98" i="39"/>
  <c r="X97" i="39"/>
  <c r="T97" i="39"/>
  <c r="P97" i="39"/>
  <c r="L97" i="39"/>
  <c r="N97" i="39" s="1"/>
  <c r="H97" i="39"/>
  <c r="F97" i="39"/>
  <c r="D97" i="39"/>
  <c r="B97" i="39"/>
  <c r="X96" i="39"/>
  <c r="Z96" i="39" s="1"/>
  <c r="L96" i="39"/>
  <c r="N96" i="39" s="1"/>
  <c r="B96" i="39"/>
  <c r="Z95" i="39"/>
  <c r="X95" i="39"/>
  <c r="N95" i="39"/>
  <c r="L95" i="39"/>
  <c r="B95" i="39"/>
  <c r="T94" i="39"/>
  <c r="R94" i="39"/>
  <c r="P94" i="39"/>
  <c r="L94" i="39"/>
  <c r="N94" i="39" s="1"/>
  <c r="H94" i="39"/>
  <c r="D94" i="39"/>
  <c r="B94" i="39"/>
  <c r="Z93" i="39"/>
  <c r="X93" i="39"/>
  <c r="L93" i="39"/>
  <c r="N93" i="39" s="1"/>
  <c r="B93" i="39"/>
  <c r="X92" i="39"/>
  <c r="Z92" i="39" s="1"/>
  <c r="N92" i="39"/>
  <c r="L92" i="39"/>
  <c r="J92" i="39"/>
  <c r="B92" i="39"/>
  <c r="Z91" i="39"/>
  <c r="X91" i="39"/>
  <c r="L91" i="39"/>
  <c r="N91" i="39" s="1"/>
  <c r="B91" i="39"/>
  <c r="Z90" i="39"/>
  <c r="X90" i="39"/>
  <c r="N90" i="39"/>
  <c r="L90" i="39"/>
  <c r="B90" i="39"/>
  <c r="X89" i="39"/>
  <c r="Z89" i="39" s="1"/>
  <c r="L89" i="39"/>
  <c r="N89" i="39" s="1"/>
  <c r="J89" i="39"/>
  <c r="B89" i="39"/>
  <c r="T88" i="39"/>
  <c r="P88" i="39"/>
  <c r="J88" i="39"/>
  <c r="H88" i="39"/>
  <c r="L88" i="39" s="1"/>
  <c r="D88" i="39"/>
  <c r="B88" i="39"/>
  <c r="Z87" i="39"/>
  <c r="X87" i="39"/>
  <c r="L87" i="39"/>
  <c r="N87" i="39" s="1"/>
  <c r="B87" i="39"/>
  <c r="Z86" i="39"/>
  <c r="X86" i="39"/>
  <c r="N86" i="39"/>
  <c r="L86" i="39"/>
  <c r="B86" i="39"/>
  <c r="X85" i="39"/>
  <c r="Z85" i="39" s="1"/>
  <c r="T85" i="39"/>
  <c r="P85" i="39"/>
  <c r="J85" i="39"/>
  <c r="H85" i="39"/>
  <c r="D85" i="39"/>
  <c r="L85" i="39" s="1"/>
  <c r="N85" i="39" s="1"/>
  <c r="B85" i="39"/>
  <c r="X84" i="39"/>
  <c r="Z84" i="39" s="1"/>
  <c r="L84" i="39"/>
  <c r="N84" i="39" s="1"/>
  <c r="B84" i="39"/>
  <c r="X83" i="39"/>
  <c r="Z83" i="39" s="1"/>
  <c r="N83" i="39"/>
  <c r="L83" i="39"/>
  <c r="B83" i="39"/>
  <c r="X82" i="39"/>
  <c r="Z82" i="39" s="1"/>
  <c r="N82" i="39"/>
  <c r="L82" i="39"/>
  <c r="J82" i="39"/>
  <c r="B82" i="39"/>
  <c r="X81" i="39"/>
  <c r="Z81" i="39" s="1"/>
  <c r="N81" i="39"/>
  <c r="L81" i="39"/>
  <c r="B81" i="39"/>
  <c r="X80" i="39"/>
  <c r="Z80" i="39" s="1"/>
  <c r="T80" i="39"/>
  <c r="P80" i="39"/>
  <c r="L80" i="39"/>
  <c r="H80" i="39"/>
  <c r="D80" i="39"/>
  <c r="B80" i="39"/>
  <c r="Z79" i="39"/>
  <c r="X79" i="39"/>
  <c r="N79" i="39"/>
  <c r="L79" i="39"/>
  <c r="B79" i="39"/>
  <c r="T78" i="39"/>
  <c r="X78" i="39" s="1"/>
  <c r="P78" i="39"/>
  <c r="H78" i="39"/>
  <c r="D78" i="39"/>
  <c r="B78" i="39"/>
  <c r="X77" i="39"/>
  <c r="Z77" i="39" s="1"/>
  <c r="L77" i="39"/>
  <c r="N77" i="39" s="1"/>
  <c r="B77" i="39"/>
  <c r="T76" i="39"/>
  <c r="P76" i="39"/>
  <c r="X76" i="39" s="1"/>
  <c r="H76" i="39"/>
  <c r="N76" i="39" s="1"/>
  <c r="D76" i="39"/>
  <c r="L76" i="39" s="1"/>
  <c r="B76" i="39"/>
  <c r="X75" i="39"/>
  <c r="Z75" i="39" s="1"/>
  <c r="N75" i="39"/>
  <c r="L75" i="39"/>
  <c r="B75" i="39"/>
  <c r="X74" i="39"/>
  <c r="T74" i="39"/>
  <c r="P74" i="39"/>
  <c r="N74" i="39"/>
  <c r="L74" i="39"/>
  <c r="H74" i="39"/>
  <c r="D74" i="39"/>
  <c r="B74" i="39"/>
  <c r="Z73" i="39"/>
  <c r="X73" i="39"/>
  <c r="N73" i="39"/>
  <c r="L73" i="39"/>
  <c r="J73" i="39"/>
  <c r="B73" i="39"/>
  <c r="T72" i="39"/>
  <c r="P72" i="39"/>
  <c r="N72" i="39"/>
  <c r="H72" i="39"/>
  <c r="L72" i="39" s="1"/>
  <c r="D72" i="39"/>
  <c r="B72" i="39"/>
  <c r="Z71" i="39"/>
  <c r="X71" i="39"/>
  <c r="N71" i="39"/>
  <c r="L71" i="39"/>
  <c r="B71" i="39"/>
  <c r="Z70" i="39"/>
  <c r="X70" i="39"/>
  <c r="N70" i="39"/>
  <c r="L70" i="39"/>
  <c r="B70" i="39"/>
  <c r="Z69" i="39"/>
  <c r="X69" i="39"/>
  <c r="T69" i="39"/>
  <c r="P69" i="39"/>
  <c r="N69" i="39"/>
  <c r="H69" i="39"/>
  <c r="D69" i="39"/>
  <c r="L69" i="39" s="1"/>
  <c r="B69" i="39"/>
  <c r="Z68" i="39"/>
  <c r="X68" i="39"/>
  <c r="L68" i="39"/>
  <c r="N68" i="39" s="1"/>
  <c r="F68" i="39"/>
  <c r="B68" i="39"/>
  <c r="X67" i="39"/>
  <c r="T67" i="39"/>
  <c r="P67" i="39"/>
  <c r="L67" i="39"/>
  <c r="N67" i="39" s="1"/>
  <c r="H67" i="39"/>
  <c r="D67" i="39"/>
  <c r="B67" i="39"/>
  <c r="Z66" i="39"/>
  <c r="X66" i="39"/>
  <c r="N66" i="39"/>
  <c r="L66" i="39"/>
  <c r="B66" i="39"/>
  <c r="Z65" i="39"/>
  <c r="T65" i="39"/>
  <c r="P65" i="39"/>
  <c r="X65" i="39" s="1"/>
  <c r="N65" i="39"/>
  <c r="H65" i="39"/>
  <c r="L65" i="39" s="1"/>
  <c r="D65" i="39"/>
  <c r="B65" i="39"/>
  <c r="X64" i="39"/>
  <c r="Z64" i="39" s="1"/>
  <c r="N64" i="39"/>
  <c r="L64" i="39"/>
  <c r="B64" i="39"/>
  <c r="Z63" i="39"/>
  <c r="X63" i="39"/>
  <c r="L63" i="39"/>
  <c r="N63" i="39" s="1"/>
  <c r="B63" i="39"/>
  <c r="Z62" i="39"/>
  <c r="X62" i="39"/>
  <c r="N62" i="39"/>
  <c r="L62" i="39"/>
  <c r="B62" i="39"/>
  <c r="X61" i="39"/>
  <c r="Z61" i="39" s="1"/>
  <c r="T61" i="39"/>
  <c r="P61" i="39"/>
  <c r="J61" i="39"/>
  <c r="H61" i="39"/>
  <c r="D61" i="39"/>
  <c r="L61" i="39" s="1"/>
  <c r="N61" i="39" s="1"/>
  <c r="B61" i="39"/>
  <c r="X60" i="39"/>
  <c r="Z60" i="39" s="1"/>
  <c r="L60" i="39"/>
  <c r="N60" i="39" s="1"/>
  <c r="B60" i="39"/>
  <c r="X59" i="39"/>
  <c r="T59" i="39"/>
  <c r="P59" i="39"/>
  <c r="L59" i="39"/>
  <c r="H59" i="39"/>
  <c r="N59" i="39" s="1"/>
  <c r="F59" i="39"/>
  <c r="D59" i="39"/>
  <c r="B59" i="39"/>
  <c r="Z58" i="39"/>
  <c r="X58" i="39"/>
  <c r="N58" i="39"/>
  <c r="L58" i="39"/>
  <c r="B58" i="39"/>
  <c r="T57" i="39"/>
  <c r="P57" i="39"/>
  <c r="X57" i="39" s="1"/>
  <c r="H57" i="39"/>
  <c r="L57" i="39" s="1"/>
  <c r="N57" i="39" s="1"/>
  <c r="D57" i="39"/>
  <c r="B57" i="39"/>
  <c r="X56" i="39"/>
  <c r="Z56" i="39" s="1"/>
  <c r="L56" i="39"/>
  <c r="N56" i="39" s="1"/>
  <c r="B56" i="39"/>
  <c r="T55" i="39"/>
  <c r="P55" i="39"/>
  <c r="X55" i="39" s="1"/>
  <c r="Z55" i="39" s="1"/>
  <c r="L55" i="39"/>
  <c r="N55" i="39" s="1"/>
  <c r="J55" i="39"/>
  <c r="H55" i="39"/>
  <c r="D55" i="39"/>
  <c r="B55" i="39"/>
  <c r="Z54" i="39"/>
  <c r="X54" i="39"/>
  <c r="N54" i="39"/>
  <c r="L54" i="39"/>
  <c r="B54" i="39"/>
  <c r="Z53" i="39"/>
  <c r="X53" i="39"/>
  <c r="N53" i="39"/>
  <c r="L53" i="39"/>
  <c r="B53" i="39"/>
  <c r="X52" i="39"/>
  <c r="Z52" i="39" s="1"/>
  <c r="L52" i="39"/>
  <c r="N52" i="39" s="1"/>
  <c r="B52" i="39"/>
  <c r="X51" i="39"/>
  <c r="Z51" i="39" s="1"/>
  <c r="N51" i="39"/>
  <c r="L51" i="39"/>
  <c r="B51" i="39"/>
  <c r="Z50" i="39"/>
  <c r="X50" i="39"/>
  <c r="N50" i="39"/>
  <c r="L50" i="39"/>
  <c r="J50" i="39"/>
  <c r="B50" i="39"/>
  <c r="X49" i="39"/>
  <c r="Z49" i="39" s="1"/>
  <c r="N49" i="39"/>
  <c r="L49" i="39"/>
  <c r="B49" i="39"/>
  <c r="X48" i="39"/>
  <c r="Z48" i="39" s="1"/>
  <c r="L48" i="39"/>
  <c r="N48" i="39" s="1"/>
  <c r="B48" i="39"/>
  <c r="Z47" i="39"/>
  <c r="X47" i="39"/>
  <c r="N47" i="39"/>
  <c r="L47" i="39"/>
  <c r="B47" i="39"/>
  <c r="X46" i="39"/>
  <c r="Z46" i="39" s="1"/>
  <c r="N46" i="39"/>
  <c r="L46" i="39"/>
  <c r="J46" i="39"/>
  <c r="B46" i="39"/>
  <c r="X45" i="39"/>
  <c r="Z45" i="39" s="1"/>
  <c r="N45" i="39"/>
  <c r="L45" i="39"/>
  <c r="B45" i="39"/>
  <c r="Z44" i="39"/>
  <c r="X44" i="39"/>
  <c r="T44" i="39"/>
  <c r="P44" i="39"/>
  <c r="L44" i="39"/>
  <c r="H44" i="39"/>
  <c r="N44" i="39" s="1"/>
  <c r="D44" i="39"/>
  <c r="B44" i="39"/>
  <c r="Z43" i="39"/>
  <c r="X43" i="39"/>
  <c r="N43" i="39"/>
  <c r="L43" i="39"/>
  <c r="J43" i="39"/>
  <c r="B43" i="39"/>
  <c r="Z42" i="39"/>
  <c r="X42" i="39"/>
  <c r="N42" i="39"/>
  <c r="L42" i="39"/>
  <c r="B42" i="39"/>
  <c r="Z41" i="39"/>
  <c r="X41" i="39"/>
  <c r="N41" i="39"/>
  <c r="L41" i="39"/>
  <c r="J41" i="39"/>
  <c r="B41" i="39"/>
  <c r="Z40" i="39"/>
  <c r="X40" i="39"/>
  <c r="N40" i="39"/>
  <c r="L40" i="39"/>
  <c r="F40" i="39"/>
  <c r="B40" i="39"/>
  <c r="Z39" i="39"/>
  <c r="X39" i="39"/>
  <c r="N39" i="39"/>
  <c r="L39" i="39"/>
  <c r="J39" i="39"/>
  <c r="B39" i="39"/>
  <c r="X38" i="39"/>
  <c r="Z38" i="39" s="1"/>
  <c r="N38" i="39"/>
  <c r="L38" i="39"/>
  <c r="B38" i="39"/>
  <c r="Z37" i="39"/>
  <c r="X37" i="39"/>
  <c r="N37" i="39"/>
  <c r="L37" i="39"/>
  <c r="J37" i="39"/>
  <c r="B37" i="39"/>
  <c r="X36" i="39"/>
  <c r="Z36" i="39" s="1"/>
  <c r="L36" i="39"/>
  <c r="N36" i="39" s="1"/>
  <c r="J36" i="39"/>
  <c r="B36" i="39"/>
  <c r="Z35" i="39"/>
  <c r="X35" i="39"/>
  <c r="N35" i="39"/>
  <c r="L35" i="39"/>
  <c r="J35" i="39"/>
  <c r="B35" i="39"/>
  <c r="X34" i="39"/>
  <c r="T34" i="39"/>
  <c r="P34" i="39"/>
  <c r="L34" i="39"/>
  <c r="H34" i="39"/>
  <c r="D34" i="39"/>
  <c r="B34" i="39"/>
  <c r="X33" i="39"/>
  <c r="Z33" i="39" s="1"/>
  <c r="T33" i="39"/>
  <c r="P33" i="39"/>
  <c r="J33" i="39"/>
  <c r="H33" i="39"/>
  <c r="D33" i="39"/>
  <c r="L33" i="39" s="1"/>
  <c r="N33" i="39" s="1"/>
  <c r="Z29" i="39"/>
  <c r="X29" i="39"/>
  <c r="N29" i="39"/>
  <c r="L29" i="39"/>
  <c r="J29" i="39"/>
  <c r="B29" i="39"/>
  <c r="Z28" i="39"/>
  <c r="X28" i="39"/>
  <c r="N28" i="39"/>
  <c r="L28" i="39"/>
  <c r="J28" i="39"/>
  <c r="B28" i="39"/>
  <c r="Z27" i="39"/>
  <c r="X27" i="39"/>
  <c r="N27" i="39"/>
  <c r="L27" i="39"/>
  <c r="J27" i="39"/>
  <c r="B27" i="39"/>
  <c r="T26" i="39"/>
  <c r="P26" i="39"/>
  <c r="H26" i="39"/>
  <c r="D26" i="39"/>
  <c r="Z24" i="39"/>
  <c r="P24" i="39"/>
  <c r="X24" i="39" s="1"/>
  <c r="N24" i="39"/>
  <c r="D24" i="39"/>
  <c r="L24" i="39" s="1"/>
  <c r="B24" i="39"/>
  <c r="Z23" i="39"/>
  <c r="P23" i="39"/>
  <c r="X23" i="39" s="1"/>
  <c r="N23" i="39"/>
  <c r="L23" i="39"/>
  <c r="D23" i="39"/>
  <c r="B23" i="39"/>
  <c r="Z22" i="39"/>
  <c r="X22" i="39"/>
  <c r="P22" i="39"/>
  <c r="N22" i="39"/>
  <c r="L22" i="39"/>
  <c r="D22" i="39"/>
  <c r="B22" i="39"/>
  <c r="Z21" i="39"/>
  <c r="P21" i="39"/>
  <c r="X21" i="39" s="1"/>
  <c r="N21" i="39"/>
  <c r="D21" i="39"/>
  <c r="L21" i="39" s="1"/>
  <c r="B21" i="39"/>
  <c r="Z20" i="39"/>
  <c r="X20" i="39"/>
  <c r="P20" i="39"/>
  <c r="N20" i="39"/>
  <c r="D20" i="39"/>
  <c r="L20" i="39" s="1"/>
  <c r="B20" i="39"/>
  <c r="X19" i="39"/>
  <c r="Z19" i="39" s="1"/>
  <c r="P19" i="39"/>
  <c r="N19" i="39"/>
  <c r="L19" i="39"/>
  <c r="D19" i="39"/>
  <c r="B19" i="39"/>
  <c r="Z18" i="39"/>
  <c r="X18" i="39"/>
  <c r="P18" i="39"/>
  <c r="N18" i="39"/>
  <c r="L18" i="39"/>
  <c r="D18" i="39"/>
  <c r="B18" i="39"/>
  <c r="Z17" i="39"/>
  <c r="X17" i="39"/>
  <c r="P17" i="39"/>
  <c r="N17" i="39"/>
  <c r="L17" i="39"/>
  <c r="D17" i="39"/>
  <c r="B17" i="39"/>
  <c r="Z16" i="39"/>
  <c r="P16" i="39"/>
  <c r="X16" i="39" s="1"/>
  <c r="N16" i="39"/>
  <c r="L16" i="39"/>
  <c r="D16" i="39"/>
  <c r="B16" i="39"/>
  <c r="Z15" i="39"/>
  <c r="P15" i="39"/>
  <c r="X15" i="39" s="1"/>
  <c r="N15" i="39"/>
  <c r="D15" i="39"/>
  <c r="L15" i="39" s="1"/>
  <c r="B15" i="39"/>
  <c r="Z14" i="39"/>
  <c r="X14" i="39"/>
  <c r="P14" i="39"/>
  <c r="N14" i="39"/>
  <c r="D14" i="39"/>
  <c r="L14" i="39" s="1"/>
  <c r="B14" i="39"/>
  <c r="Z13" i="39"/>
  <c r="X13" i="39"/>
  <c r="P13" i="39"/>
  <c r="P12" i="39" s="1"/>
  <c r="R66" i="39" s="1"/>
  <c r="D13" i="39"/>
  <c r="L13" i="39" s="1"/>
  <c r="N13" i="39" s="1"/>
  <c r="B13" i="39"/>
  <c r="T12" i="39"/>
  <c r="H12" i="39"/>
  <c r="J72" i="39" s="1"/>
  <c r="D12" i="39"/>
  <c r="F107" i="39" s="1"/>
  <c r="D4" i="39"/>
  <c r="Z129" i="36"/>
  <c r="X129" i="36"/>
  <c r="L129" i="36"/>
  <c r="N129" i="36" s="1"/>
  <c r="J129" i="36"/>
  <c r="Z125" i="36"/>
  <c r="P125" i="36"/>
  <c r="X125" i="36" s="1"/>
  <c r="N125" i="36"/>
  <c r="L125" i="36"/>
  <c r="D125" i="36"/>
  <c r="B125" i="36"/>
  <c r="X124" i="36"/>
  <c r="Z124" i="36" s="1"/>
  <c r="P124" i="36"/>
  <c r="N124" i="36"/>
  <c r="L124" i="36"/>
  <c r="D124" i="36"/>
  <c r="B124" i="36"/>
  <c r="V123" i="36"/>
  <c r="P123" i="36"/>
  <c r="P121" i="36" s="1"/>
  <c r="X121" i="36" s="1"/>
  <c r="L123" i="36"/>
  <c r="N123" i="36" s="1"/>
  <c r="D123" i="36"/>
  <c r="B123" i="36"/>
  <c r="X122" i="36"/>
  <c r="Z122" i="36" s="1"/>
  <c r="R122" i="36"/>
  <c r="P122" i="36"/>
  <c r="D122" i="36"/>
  <c r="L122" i="36" s="1"/>
  <c r="N122" i="36" s="1"/>
  <c r="B122" i="36"/>
  <c r="V121" i="36"/>
  <c r="T121" i="36"/>
  <c r="Z121" i="36" s="1"/>
  <c r="H121" i="36"/>
  <c r="D121" i="36"/>
  <c r="L121" i="36" s="1"/>
  <c r="X119" i="36"/>
  <c r="Z119" i="36" s="1"/>
  <c r="V119" i="36"/>
  <c r="N119" i="36"/>
  <c r="L119" i="36"/>
  <c r="B119" i="36"/>
  <c r="T118" i="36"/>
  <c r="P118" i="36"/>
  <c r="X118" i="36" s="1"/>
  <c r="Z118" i="36" s="1"/>
  <c r="L118" i="36"/>
  <c r="H118" i="36"/>
  <c r="N118" i="36" s="1"/>
  <c r="D118" i="36"/>
  <c r="B118" i="36"/>
  <c r="Z117" i="36"/>
  <c r="X117" i="36"/>
  <c r="N117" i="36"/>
  <c r="L117" i="36"/>
  <c r="J117" i="36"/>
  <c r="B117" i="36"/>
  <c r="Z116" i="36"/>
  <c r="X116" i="36"/>
  <c r="N116" i="36"/>
  <c r="L116" i="36"/>
  <c r="B116" i="36"/>
  <c r="Z115" i="36"/>
  <c r="X115" i="36"/>
  <c r="N115" i="36"/>
  <c r="L115" i="36"/>
  <c r="B115" i="36"/>
  <c r="X114" i="36"/>
  <c r="T114" i="36"/>
  <c r="P114" i="36"/>
  <c r="L114" i="36"/>
  <c r="H114" i="36"/>
  <c r="N114" i="36" s="1"/>
  <c r="D114" i="36"/>
  <c r="B114" i="36"/>
  <c r="Z113" i="36"/>
  <c r="X113" i="36"/>
  <c r="V113" i="36"/>
  <c r="N113" i="36"/>
  <c r="L113" i="36"/>
  <c r="B113" i="36"/>
  <c r="T112" i="36"/>
  <c r="P112" i="36"/>
  <c r="H112" i="36"/>
  <c r="D112" i="36"/>
  <c r="B112" i="36"/>
  <c r="X111" i="36"/>
  <c r="Z111" i="36" s="1"/>
  <c r="V111" i="36"/>
  <c r="N111" i="36"/>
  <c r="L111" i="36"/>
  <c r="B111" i="36"/>
  <c r="Z110" i="36"/>
  <c r="X110" i="36"/>
  <c r="L110" i="36"/>
  <c r="N110" i="36" s="1"/>
  <c r="B110" i="36"/>
  <c r="V109" i="36"/>
  <c r="T109" i="36"/>
  <c r="P109" i="36"/>
  <c r="X109" i="36" s="1"/>
  <c r="J109" i="36"/>
  <c r="H109" i="36"/>
  <c r="D109" i="36"/>
  <c r="L109" i="36" s="1"/>
  <c r="B109" i="36"/>
  <c r="X108" i="36"/>
  <c r="Z108" i="36" s="1"/>
  <c r="N108" i="36"/>
  <c r="L108" i="36"/>
  <c r="B108" i="36"/>
  <c r="Z107" i="36"/>
  <c r="X107" i="36"/>
  <c r="N107" i="36"/>
  <c r="L107" i="36"/>
  <c r="B107" i="36"/>
  <c r="Z106" i="36"/>
  <c r="X106" i="36"/>
  <c r="R106" i="36"/>
  <c r="N106" i="36"/>
  <c r="L106" i="36"/>
  <c r="B106" i="36"/>
  <c r="X105" i="36"/>
  <c r="Z105" i="36" s="1"/>
  <c r="N105" i="36"/>
  <c r="L105" i="36"/>
  <c r="J105" i="36"/>
  <c r="B105" i="36"/>
  <c r="X104" i="36"/>
  <c r="Z104" i="36" s="1"/>
  <c r="N104" i="36"/>
  <c r="L104" i="36"/>
  <c r="F104" i="36"/>
  <c r="B104" i="36"/>
  <c r="Z103" i="36"/>
  <c r="X103" i="36"/>
  <c r="N103" i="36"/>
  <c r="L103" i="36"/>
  <c r="B103" i="36"/>
  <c r="X102" i="36"/>
  <c r="Z102" i="36" s="1"/>
  <c r="R102" i="36"/>
  <c r="L102" i="36"/>
  <c r="N102" i="36" s="1"/>
  <c r="B102" i="36"/>
  <c r="X101" i="36"/>
  <c r="Z101" i="36" s="1"/>
  <c r="N101" i="36"/>
  <c r="L101" i="36"/>
  <c r="J101" i="36"/>
  <c r="B101" i="36"/>
  <c r="X100" i="36"/>
  <c r="Z100" i="36" s="1"/>
  <c r="N100" i="36"/>
  <c r="L100" i="36"/>
  <c r="B100" i="36"/>
  <c r="Z99" i="36"/>
  <c r="X99" i="36"/>
  <c r="N99" i="36"/>
  <c r="L99" i="36"/>
  <c r="B99" i="36"/>
  <c r="X98" i="36"/>
  <c r="Z98" i="36" s="1"/>
  <c r="R98" i="36"/>
  <c r="L98" i="36"/>
  <c r="N98" i="36" s="1"/>
  <c r="B98" i="36"/>
  <c r="X97" i="36"/>
  <c r="Z97" i="36" s="1"/>
  <c r="T97" i="36"/>
  <c r="R97" i="36"/>
  <c r="P97" i="36"/>
  <c r="H97" i="36"/>
  <c r="D97" i="36"/>
  <c r="L97" i="36" s="1"/>
  <c r="N97" i="36" s="1"/>
  <c r="B97" i="36"/>
  <c r="Z96" i="36"/>
  <c r="X96" i="36"/>
  <c r="R96" i="36"/>
  <c r="L96" i="36"/>
  <c r="N96" i="36" s="1"/>
  <c r="B96" i="36"/>
  <c r="Z95" i="36"/>
  <c r="X95" i="36"/>
  <c r="N95" i="36"/>
  <c r="L95" i="36"/>
  <c r="J95" i="36"/>
  <c r="B95" i="36"/>
  <c r="T94" i="36"/>
  <c r="P94" i="36"/>
  <c r="H94" i="36"/>
  <c r="D94" i="36"/>
  <c r="L94" i="36" s="1"/>
  <c r="B94" i="36"/>
  <c r="Z93" i="36"/>
  <c r="X93" i="36"/>
  <c r="V93" i="36"/>
  <c r="L93" i="36"/>
  <c r="N93" i="36" s="1"/>
  <c r="B93" i="36"/>
  <c r="X92" i="36"/>
  <c r="Z92" i="36" s="1"/>
  <c r="L92" i="36"/>
  <c r="N92" i="36" s="1"/>
  <c r="B92" i="36"/>
  <c r="Z91" i="36"/>
  <c r="X91" i="36"/>
  <c r="V91" i="36"/>
  <c r="N91" i="36"/>
  <c r="L91" i="36"/>
  <c r="B91" i="36"/>
  <c r="Z90" i="36"/>
  <c r="X90" i="36"/>
  <c r="N90" i="36"/>
  <c r="L90" i="36"/>
  <c r="F90" i="36"/>
  <c r="B90" i="36"/>
  <c r="Z89" i="36"/>
  <c r="X89" i="36"/>
  <c r="V89" i="36"/>
  <c r="L89" i="36"/>
  <c r="N89" i="36" s="1"/>
  <c r="B89" i="36"/>
  <c r="X88" i="36"/>
  <c r="T88" i="36"/>
  <c r="P88" i="36"/>
  <c r="H88" i="36"/>
  <c r="D88" i="36"/>
  <c r="L88" i="36" s="1"/>
  <c r="N88" i="36" s="1"/>
  <c r="B88" i="36"/>
  <c r="Z87" i="36"/>
  <c r="X87" i="36"/>
  <c r="N87" i="36"/>
  <c r="L87" i="36"/>
  <c r="B87" i="36"/>
  <c r="Z86" i="36"/>
  <c r="X86" i="36"/>
  <c r="R86" i="36"/>
  <c r="N86" i="36"/>
  <c r="L86" i="36"/>
  <c r="B86" i="36"/>
  <c r="Z85" i="36"/>
  <c r="X85" i="36"/>
  <c r="T85" i="36"/>
  <c r="R85" i="36"/>
  <c r="P85" i="36"/>
  <c r="N85" i="36"/>
  <c r="H85" i="36"/>
  <c r="D85" i="36"/>
  <c r="L85" i="36" s="1"/>
  <c r="B85" i="36"/>
  <c r="Z84" i="36"/>
  <c r="X84" i="36"/>
  <c r="R84" i="36"/>
  <c r="L84" i="36"/>
  <c r="N84" i="36" s="1"/>
  <c r="B84" i="36"/>
  <c r="Z83" i="36"/>
  <c r="X83" i="36"/>
  <c r="N83" i="36"/>
  <c r="L83" i="36"/>
  <c r="J83" i="36"/>
  <c r="B83" i="36"/>
  <c r="X82" i="36"/>
  <c r="Z82" i="36" s="1"/>
  <c r="N82" i="36"/>
  <c r="L82" i="36"/>
  <c r="B82" i="36"/>
  <c r="Z81" i="36"/>
  <c r="X81" i="36"/>
  <c r="V81" i="36"/>
  <c r="N81" i="36"/>
  <c r="L81" i="36"/>
  <c r="B81" i="36"/>
  <c r="T80" i="36"/>
  <c r="P80" i="36"/>
  <c r="X80" i="36" s="1"/>
  <c r="H80" i="36"/>
  <c r="D80" i="36"/>
  <c r="L80" i="36" s="1"/>
  <c r="B80" i="36"/>
  <c r="Z79" i="36"/>
  <c r="X79" i="36"/>
  <c r="V79" i="36"/>
  <c r="N79" i="36"/>
  <c r="L79" i="36"/>
  <c r="B79" i="36"/>
  <c r="V78" i="36"/>
  <c r="T78" i="36"/>
  <c r="P78" i="36"/>
  <c r="X78" i="36" s="1"/>
  <c r="Z78" i="36" s="1"/>
  <c r="L78" i="36"/>
  <c r="H78" i="36"/>
  <c r="N78" i="36" s="1"/>
  <c r="D78" i="36"/>
  <c r="B78" i="36"/>
  <c r="X77" i="36"/>
  <c r="Z77" i="36" s="1"/>
  <c r="N77" i="36"/>
  <c r="L77" i="36"/>
  <c r="J77" i="36"/>
  <c r="B77" i="36"/>
  <c r="X76" i="36"/>
  <c r="T76" i="36"/>
  <c r="Z76" i="36" s="1"/>
  <c r="P76" i="36"/>
  <c r="H76" i="36"/>
  <c r="D76" i="36"/>
  <c r="B76" i="36"/>
  <c r="Z75" i="36"/>
  <c r="X75" i="36"/>
  <c r="N75" i="36"/>
  <c r="L75" i="36"/>
  <c r="J75" i="36"/>
  <c r="B75" i="36"/>
  <c r="T74" i="36"/>
  <c r="P74" i="36"/>
  <c r="X74" i="36" s="1"/>
  <c r="H74" i="36"/>
  <c r="D74" i="36"/>
  <c r="L74" i="36" s="1"/>
  <c r="B74" i="36"/>
  <c r="Z73" i="36"/>
  <c r="X73" i="36"/>
  <c r="V73" i="36"/>
  <c r="L73" i="36"/>
  <c r="N73" i="36" s="1"/>
  <c r="B73" i="36"/>
  <c r="X72" i="36"/>
  <c r="T72" i="36"/>
  <c r="P72" i="36"/>
  <c r="H72" i="36"/>
  <c r="D72" i="36"/>
  <c r="L72" i="36" s="1"/>
  <c r="N72" i="36" s="1"/>
  <c r="B72" i="36"/>
  <c r="Z71" i="36"/>
  <c r="X71" i="36"/>
  <c r="N71" i="36"/>
  <c r="L71" i="36"/>
  <c r="B71" i="36"/>
  <c r="T70" i="36"/>
  <c r="P70" i="36"/>
  <c r="L70" i="36"/>
  <c r="H70" i="36"/>
  <c r="N70" i="36" s="1"/>
  <c r="D70" i="36"/>
  <c r="B70" i="36"/>
  <c r="Z69" i="36"/>
  <c r="X69" i="36"/>
  <c r="V69" i="36"/>
  <c r="N69" i="36"/>
  <c r="L69" i="36"/>
  <c r="J69" i="36"/>
  <c r="B69" i="36"/>
  <c r="T68" i="36"/>
  <c r="Z68" i="36" s="1"/>
  <c r="P68" i="36"/>
  <c r="X68" i="36" s="1"/>
  <c r="H68" i="36"/>
  <c r="N68" i="36" s="1"/>
  <c r="D68" i="36"/>
  <c r="L68" i="36" s="1"/>
  <c r="B68" i="36"/>
  <c r="Z67" i="36"/>
  <c r="X67" i="36"/>
  <c r="V67" i="36"/>
  <c r="N67" i="36"/>
  <c r="L67" i="36"/>
  <c r="B67" i="36"/>
  <c r="V66" i="36"/>
  <c r="T66" i="36"/>
  <c r="P66" i="36"/>
  <c r="X66" i="36" s="1"/>
  <c r="Z66" i="36" s="1"/>
  <c r="L66" i="36"/>
  <c r="H66" i="36"/>
  <c r="D66" i="36"/>
  <c r="B66" i="36"/>
  <c r="X65" i="36"/>
  <c r="Z65" i="36" s="1"/>
  <c r="N65" i="36"/>
  <c r="L65" i="36"/>
  <c r="J65" i="36"/>
  <c r="B65" i="36"/>
  <c r="X64" i="36"/>
  <c r="T64" i="36"/>
  <c r="Z64" i="36" s="1"/>
  <c r="P64" i="36"/>
  <c r="L64" i="36"/>
  <c r="H64" i="36"/>
  <c r="D64" i="36"/>
  <c r="B64" i="36"/>
  <c r="Z63" i="36"/>
  <c r="X63" i="36"/>
  <c r="N63" i="36"/>
  <c r="L63" i="36"/>
  <c r="J63" i="36"/>
  <c r="B63" i="36"/>
  <c r="T62" i="36"/>
  <c r="P62" i="36"/>
  <c r="X62" i="36" s="1"/>
  <c r="H62" i="36"/>
  <c r="D62" i="36"/>
  <c r="B62" i="36"/>
  <c r="Z61" i="36"/>
  <c r="X61" i="36"/>
  <c r="V61" i="36"/>
  <c r="L61" i="36"/>
  <c r="N61" i="36" s="1"/>
  <c r="B61" i="36"/>
  <c r="X60" i="36"/>
  <c r="Z60" i="36" s="1"/>
  <c r="L60" i="36"/>
  <c r="N60" i="36" s="1"/>
  <c r="B60" i="36"/>
  <c r="Z59" i="36"/>
  <c r="X59" i="36"/>
  <c r="V59" i="36"/>
  <c r="N59" i="36"/>
  <c r="L59" i="36"/>
  <c r="B59" i="36"/>
  <c r="V58" i="36"/>
  <c r="T58" i="36"/>
  <c r="P58" i="36"/>
  <c r="X58" i="36" s="1"/>
  <c r="Z58" i="36" s="1"/>
  <c r="L58" i="36"/>
  <c r="H58" i="36"/>
  <c r="N58" i="36" s="1"/>
  <c r="D58" i="36"/>
  <c r="B58" i="36"/>
  <c r="X57" i="36"/>
  <c r="Z57" i="36" s="1"/>
  <c r="N57" i="36"/>
  <c r="L57" i="36"/>
  <c r="J57" i="36"/>
  <c r="B57" i="36"/>
  <c r="X56" i="36"/>
  <c r="V56" i="36"/>
  <c r="T56" i="36"/>
  <c r="Z56" i="36" s="1"/>
  <c r="P56" i="36"/>
  <c r="L56" i="36"/>
  <c r="H56" i="36"/>
  <c r="D56" i="36"/>
  <c r="B56" i="36"/>
  <c r="Z55" i="36"/>
  <c r="X55" i="36"/>
  <c r="N55" i="36"/>
  <c r="L55" i="36"/>
  <c r="J55" i="36"/>
  <c r="B55" i="36"/>
  <c r="T54" i="36"/>
  <c r="P54" i="36"/>
  <c r="H54" i="36"/>
  <c r="D54" i="36"/>
  <c r="B54" i="36"/>
  <c r="Z53" i="36"/>
  <c r="X53" i="36"/>
  <c r="V53" i="36"/>
  <c r="L53" i="36"/>
  <c r="N53" i="36" s="1"/>
  <c r="B53" i="36"/>
  <c r="X52" i="36"/>
  <c r="T52" i="36"/>
  <c r="P52" i="36"/>
  <c r="H52" i="36"/>
  <c r="D52" i="36"/>
  <c r="L52" i="36" s="1"/>
  <c r="N52" i="36" s="1"/>
  <c r="B52" i="36"/>
  <c r="Z51" i="36"/>
  <c r="X51" i="36"/>
  <c r="V51" i="36"/>
  <c r="N51" i="36"/>
  <c r="L51" i="36"/>
  <c r="B51" i="36"/>
  <c r="Z50" i="36"/>
  <c r="X50" i="36"/>
  <c r="R50" i="36"/>
  <c r="N50" i="36"/>
  <c r="L50" i="36"/>
  <c r="B50" i="36"/>
  <c r="X49" i="36"/>
  <c r="Z49" i="36" s="1"/>
  <c r="N49" i="36"/>
  <c r="L49" i="36"/>
  <c r="J49" i="36"/>
  <c r="B49" i="36"/>
  <c r="X48" i="36"/>
  <c r="Z48" i="36" s="1"/>
  <c r="V48" i="36"/>
  <c r="N48" i="36"/>
  <c r="L48" i="36"/>
  <c r="B48" i="36"/>
  <c r="Z47" i="36"/>
  <c r="X47" i="36"/>
  <c r="V47" i="36"/>
  <c r="N47" i="36"/>
  <c r="L47" i="36"/>
  <c r="B47" i="36"/>
  <c r="X46" i="36"/>
  <c r="Z46" i="36" s="1"/>
  <c r="R46" i="36"/>
  <c r="L46" i="36"/>
  <c r="N46" i="36" s="1"/>
  <c r="B46" i="36"/>
  <c r="X45" i="36"/>
  <c r="Z45" i="36" s="1"/>
  <c r="N45" i="36"/>
  <c r="L45" i="36"/>
  <c r="J45" i="36"/>
  <c r="B45" i="36"/>
  <c r="Z44" i="36"/>
  <c r="X44" i="36"/>
  <c r="V44" i="36"/>
  <c r="N44" i="36"/>
  <c r="L44" i="36"/>
  <c r="B44" i="36"/>
  <c r="Z43" i="36"/>
  <c r="X43" i="36"/>
  <c r="V43" i="36"/>
  <c r="N43" i="36"/>
  <c r="L43" i="36"/>
  <c r="B43" i="36"/>
  <c r="X42" i="36"/>
  <c r="Z42" i="36" s="1"/>
  <c r="R42" i="36"/>
  <c r="L42" i="36"/>
  <c r="N42" i="36" s="1"/>
  <c r="B42" i="36"/>
  <c r="X41" i="36"/>
  <c r="Z41" i="36" s="1"/>
  <c r="T41" i="36"/>
  <c r="R41" i="36"/>
  <c r="P41" i="36"/>
  <c r="H41" i="36"/>
  <c r="D41" i="36"/>
  <c r="L41" i="36" s="1"/>
  <c r="N41" i="36" s="1"/>
  <c r="B41" i="36"/>
  <c r="Z40" i="36"/>
  <c r="X40" i="36"/>
  <c r="R40" i="36"/>
  <c r="L40" i="36"/>
  <c r="N40" i="36" s="1"/>
  <c r="B40" i="36"/>
  <c r="Z39" i="36"/>
  <c r="X39" i="36"/>
  <c r="N39" i="36"/>
  <c r="L39" i="36"/>
  <c r="J39" i="36"/>
  <c r="B39" i="36"/>
  <c r="X38" i="36"/>
  <c r="Z38" i="36" s="1"/>
  <c r="N38" i="36"/>
  <c r="L38" i="36"/>
  <c r="B38" i="36"/>
  <c r="Z37" i="36"/>
  <c r="X37" i="36"/>
  <c r="V37" i="36"/>
  <c r="N37" i="36"/>
  <c r="L37" i="36"/>
  <c r="J37" i="36"/>
  <c r="B37" i="36"/>
  <c r="Z36" i="36"/>
  <c r="X36" i="36"/>
  <c r="R36" i="36"/>
  <c r="N36" i="36"/>
  <c r="L36" i="36"/>
  <c r="B36" i="36"/>
  <c r="Z35" i="36"/>
  <c r="X35" i="36"/>
  <c r="V35" i="36"/>
  <c r="N35" i="36"/>
  <c r="L35" i="36"/>
  <c r="J35" i="36"/>
  <c r="B35" i="36"/>
  <c r="X34" i="36"/>
  <c r="Z34" i="36" s="1"/>
  <c r="N34" i="36"/>
  <c r="L34" i="36"/>
  <c r="B34" i="36"/>
  <c r="Z33" i="36"/>
  <c r="X33" i="36"/>
  <c r="V33" i="36"/>
  <c r="N33" i="36"/>
  <c r="L33" i="36"/>
  <c r="J33" i="36"/>
  <c r="B33" i="36"/>
  <c r="Z32" i="36"/>
  <c r="X32" i="36"/>
  <c r="R32" i="36"/>
  <c r="L32" i="36"/>
  <c r="N32" i="36" s="1"/>
  <c r="B32" i="36"/>
  <c r="Z31" i="36"/>
  <c r="X31" i="36"/>
  <c r="V31" i="36"/>
  <c r="N31" i="36"/>
  <c r="L31" i="36"/>
  <c r="J31" i="36"/>
  <c r="B31" i="36"/>
  <c r="T30" i="36"/>
  <c r="P30" i="36"/>
  <c r="H30" i="36"/>
  <c r="D30" i="36"/>
  <c r="L30" i="36" s="1"/>
  <c r="B30" i="36"/>
  <c r="V29" i="36"/>
  <c r="T29" i="36"/>
  <c r="Z29" i="36" s="1"/>
  <c r="P29" i="36"/>
  <c r="X29" i="36" s="1"/>
  <c r="J29" i="36"/>
  <c r="H29" i="36"/>
  <c r="N29" i="36" s="1"/>
  <c r="D29" i="36"/>
  <c r="L29" i="36" s="1"/>
  <c r="V27" i="36"/>
  <c r="T27" i="36"/>
  <c r="Z25" i="36"/>
  <c r="X25" i="36"/>
  <c r="V25" i="36"/>
  <c r="N25" i="36"/>
  <c r="L25" i="36"/>
  <c r="B25" i="36"/>
  <c r="Z24" i="36"/>
  <c r="X24" i="36"/>
  <c r="V24" i="36"/>
  <c r="N24" i="36"/>
  <c r="L24" i="36"/>
  <c r="B24" i="36"/>
  <c r="Z23" i="36"/>
  <c r="X23" i="36"/>
  <c r="V23" i="36"/>
  <c r="N23" i="36"/>
  <c r="L23" i="36"/>
  <c r="B23" i="36"/>
  <c r="V22" i="36"/>
  <c r="T22" i="36"/>
  <c r="P22" i="36"/>
  <c r="X22" i="36" s="1"/>
  <c r="Z22" i="36" s="1"/>
  <c r="L22" i="36"/>
  <c r="H22" i="36"/>
  <c r="N22" i="36" s="1"/>
  <c r="D22" i="36"/>
  <c r="Z20" i="36"/>
  <c r="P20" i="36"/>
  <c r="X20" i="36" s="1"/>
  <c r="N20" i="36"/>
  <c r="D20" i="36"/>
  <c r="L20" i="36" s="1"/>
  <c r="B20" i="36"/>
  <c r="Z19" i="36"/>
  <c r="P19" i="36"/>
  <c r="X19" i="36" s="1"/>
  <c r="N19" i="36"/>
  <c r="L19" i="36"/>
  <c r="D19" i="36"/>
  <c r="B19" i="36"/>
  <c r="Z18" i="36"/>
  <c r="X18" i="36"/>
  <c r="P18" i="36"/>
  <c r="N18" i="36"/>
  <c r="D18" i="36"/>
  <c r="L18" i="36" s="1"/>
  <c r="B18" i="36"/>
  <c r="Z17" i="36"/>
  <c r="P17" i="36"/>
  <c r="X17" i="36" s="1"/>
  <c r="N17" i="36"/>
  <c r="D17" i="36"/>
  <c r="L17" i="36" s="1"/>
  <c r="B17" i="36"/>
  <c r="Z16" i="36"/>
  <c r="X16" i="36"/>
  <c r="P16" i="36"/>
  <c r="N16" i="36"/>
  <c r="D16" i="36"/>
  <c r="L16" i="36" s="1"/>
  <c r="B16" i="36"/>
  <c r="Z15" i="36"/>
  <c r="X15" i="36"/>
  <c r="P15" i="36"/>
  <c r="N15" i="36"/>
  <c r="L15" i="36"/>
  <c r="D15" i="36"/>
  <c r="B15" i="36"/>
  <c r="Z14" i="36"/>
  <c r="X14" i="36"/>
  <c r="P14" i="36"/>
  <c r="N14" i="36"/>
  <c r="D14" i="36"/>
  <c r="L14" i="36" s="1"/>
  <c r="B14" i="36"/>
  <c r="X13" i="36"/>
  <c r="Z13" i="36" s="1"/>
  <c r="P13" i="36"/>
  <c r="L13" i="36"/>
  <c r="N13" i="36" s="1"/>
  <c r="D13" i="36"/>
  <c r="D12" i="36" s="1"/>
  <c r="F109" i="36" s="1"/>
  <c r="B13" i="36"/>
  <c r="T12" i="36"/>
  <c r="V124" i="36" s="1"/>
  <c r="P12" i="36"/>
  <c r="R123" i="36" s="1"/>
  <c r="H12" i="36"/>
  <c r="J118" i="36" s="1"/>
  <c r="D4" i="36"/>
  <c r="Z87" i="33"/>
  <c r="X87" i="33"/>
  <c r="N87" i="33"/>
  <c r="L87" i="33"/>
  <c r="Z83" i="33"/>
  <c r="V83" i="33"/>
  <c r="P83" i="33"/>
  <c r="N83" i="33"/>
  <c r="D83" i="33"/>
  <c r="L83" i="33" s="1"/>
  <c r="B83" i="33"/>
  <c r="P82" i="33"/>
  <c r="X82" i="33" s="1"/>
  <c r="Z82" i="33" s="1"/>
  <c r="D82" i="33"/>
  <c r="B82" i="33"/>
  <c r="T81" i="33"/>
  <c r="H81" i="33"/>
  <c r="Z79" i="33"/>
  <c r="X79" i="33"/>
  <c r="N79" i="33"/>
  <c r="L79" i="33"/>
  <c r="J79" i="33"/>
  <c r="B79" i="33"/>
  <c r="X78" i="33"/>
  <c r="T78" i="33"/>
  <c r="Z78" i="33" s="1"/>
  <c r="P78" i="33"/>
  <c r="H78" i="33"/>
  <c r="N78" i="33" s="1"/>
  <c r="D78" i="33"/>
  <c r="B78" i="33"/>
  <c r="Z77" i="33"/>
  <c r="X77" i="33"/>
  <c r="N77" i="33"/>
  <c r="L77" i="33"/>
  <c r="J77" i="33"/>
  <c r="B77" i="33"/>
  <c r="T76" i="33"/>
  <c r="P76" i="33"/>
  <c r="H76" i="33"/>
  <c r="D76" i="33"/>
  <c r="L76" i="33" s="1"/>
  <c r="B76" i="33"/>
  <c r="Z75" i="33"/>
  <c r="X75" i="33"/>
  <c r="V75" i="33"/>
  <c r="L75" i="33"/>
  <c r="N75" i="33" s="1"/>
  <c r="B75" i="33"/>
  <c r="X74" i="33"/>
  <c r="Z74" i="33" s="1"/>
  <c r="L74" i="33"/>
  <c r="N74" i="33" s="1"/>
  <c r="B74" i="33"/>
  <c r="Z73" i="33"/>
  <c r="X73" i="33"/>
  <c r="V73" i="33"/>
  <c r="N73" i="33"/>
  <c r="L73" i="33"/>
  <c r="B73" i="33"/>
  <c r="Z72" i="33"/>
  <c r="X72" i="33"/>
  <c r="N72" i="33"/>
  <c r="L72" i="33"/>
  <c r="B72" i="33"/>
  <c r="Z71" i="33"/>
  <c r="X71" i="33"/>
  <c r="V71" i="33"/>
  <c r="N71" i="33"/>
  <c r="L71" i="33"/>
  <c r="B71" i="33"/>
  <c r="X70" i="33"/>
  <c r="Z70" i="33" s="1"/>
  <c r="T70" i="33"/>
  <c r="P70" i="33"/>
  <c r="J70" i="33"/>
  <c r="H70" i="33"/>
  <c r="D70" i="33"/>
  <c r="L70" i="33" s="1"/>
  <c r="N70" i="33" s="1"/>
  <c r="B70" i="33"/>
  <c r="Z69" i="33"/>
  <c r="X69" i="33"/>
  <c r="N69" i="33"/>
  <c r="L69" i="33"/>
  <c r="B69" i="33"/>
  <c r="T68" i="33"/>
  <c r="P68" i="33"/>
  <c r="L68" i="33"/>
  <c r="H68" i="33"/>
  <c r="N68" i="33" s="1"/>
  <c r="D68" i="33"/>
  <c r="B68" i="33"/>
  <c r="Z67" i="33"/>
  <c r="X67" i="33"/>
  <c r="V67" i="33"/>
  <c r="N67" i="33"/>
  <c r="L67" i="33"/>
  <c r="J67" i="33"/>
  <c r="B67" i="33"/>
  <c r="Z66" i="33"/>
  <c r="X66" i="33"/>
  <c r="N66" i="33"/>
  <c r="L66" i="33"/>
  <c r="B66" i="33"/>
  <c r="Z65" i="33"/>
  <c r="T65" i="33"/>
  <c r="X65" i="33" s="1"/>
  <c r="P65" i="33"/>
  <c r="N65" i="33"/>
  <c r="L65" i="33"/>
  <c r="J65" i="33"/>
  <c r="H65" i="33"/>
  <c r="D65" i="33"/>
  <c r="B65" i="33"/>
  <c r="Z64" i="33"/>
  <c r="X64" i="33"/>
  <c r="V64" i="33"/>
  <c r="L64" i="33"/>
  <c r="N64" i="33" s="1"/>
  <c r="B64" i="33"/>
  <c r="Z63" i="33"/>
  <c r="X63" i="33"/>
  <c r="V63" i="33"/>
  <c r="L63" i="33"/>
  <c r="N63" i="33" s="1"/>
  <c r="B63" i="33"/>
  <c r="X62" i="33"/>
  <c r="Z62" i="33" s="1"/>
  <c r="T62" i="33"/>
  <c r="P62" i="33"/>
  <c r="J62" i="33"/>
  <c r="H62" i="33"/>
  <c r="D62" i="33"/>
  <c r="L62" i="33" s="1"/>
  <c r="N62" i="33" s="1"/>
  <c r="B62" i="33"/>
  <c r="Z61" i="33"/>
  <c r="X61" i="33"/>
  <c r="N61" i="33"/>
  <c r="L61" i="33"/>
  <c r="B61" i="33"/>
  <c r="T60" i="33"/>
  <c r="P60" i="33"/>
  <c r="L60" i="33"/>
  <c r="H60" i="33"/>
  <c r="N60" i="33" s="1"/>
  <c r="D60" i="33"/>
  <c r="B60" i="33"/>
  <c r="Z59" i="33"/>
  <c r="X59" i="33"/>
  <c r="V59" i="33"/>
  <c r="N59" i="33"/>
  <c r="L59" i="33"/>
  <c r="J59" i="33"/>
  <c r="B59" i="33"/>
  <c r="T58" i="33"/>
  <c r="P58" i="33"/>
  <c r="X58" i="33" s="1"/>
  <c r="H58" i="33"/>
  <c r="D58" i="33"/>
  <c r="B58" i="33"/>
  <c r="Z57" i="33"/>
  <c r="X57" i="33"/>
  <c r="V57" i="33"/>
  <c r="N57" i="33"/>
  <c r="L57" i="33"/>
  <c r="B57" i="33"/>
  <c r="V56" i="33"/>
  <c r="T56" i="33"/>
  <c r="P56" i="33"/>
  <c r="X56" i="33" s="1"/>
  <c r="Z56" i="33" s="1"/>
  <c r="L56" i="33"/>
  <c r="N56" i="33" s="1"/>
  <c r="H56" i="33"/>
  <c r="D56" i="33"/>
  <c r="B56" i="33"/>
  <c r="X55" i="33"/>
  <c r="Z55" i="33" s="1"/>
  <c r="N55" i="33"/>
  <c r="L55" i="33"/>
  <c r="J55" i="33"/>
  <c r="B55" i="33"/>
  <c r="X54" i="33"/>
  <c r="T54" i="33"/>
  <c r="P54" i="33"/>
  <c r="L54" i="33"/>
  <c r="H54" i="33"/>
  <c r="D54" i="33"/>
  <c r="B54" i="33"/>
  <c r="Z53" i="33"/>
  <c r="X53" i="33"/>
  <c r="N53" i="33"/>
  <c r="L53" i="33"/>
  <c r="J53" i="33"/>
  <c r="B53" i="33"/>
  <c r="Z52" i="33"/>
  <c r="X52" i="33"/>
  <c r="N52" i="33"/>
  <c r="L52" i="33"/>
  <c r="J52" i="33"/>
  <c r="B52" i="33"/>
  <c r="Z51" i="33"/>
  <c r="X51" i="33"/>
  <c r="V51" i="33"/>
  <c r="N51" i="33"/>
  <c r="L51" i="33"/>
  <c r="J51" i="33"/>
  <c r="B51" i="33"/>
  <c r="Z50" i="33"/>
  <c r="X50" i="33"/>
  <c r="N50" i="33"/>
  <c r="L50" i="33"/>
  <c r="B50" i="33"/>
  <c r="Z49" i="33"/>
  <c r="X49" i="33"/>
  <c r="N49" i="33"/>
  <c r="L49" i="33"/>
  <c r="J49" i="33"/>
  <c r="B49" i="33"/>
  <c r="Z48" i="33"/>
  <c r="X48" i="33"/>
  <c r="N48" i="33"/>
  <c r="L48" i="33"/>
  <c r="J48" i="33"/>
  <c r="B48" i="33"/>
  <c r="Z47" i="33"/>
  <c r="X47" i="33"/>
  <c r="V47" i="33"/>
  <c r="N47" i="33"/>
  <c r="L47" i="33"/>
  <c r="J47" i="33"/>
  <c r="B47" i="33"/>
  <c r="Z46" i="33"/>
  <c r="X46" i="33"/>
  <c r="N46" i="33"/>
  <c r="L46" i="33"/>
  <c r="B46" i="33"/>
  <c r="Z45" i="33"/>
  <c r="X45" i="33"/>
  <c r="L45" i="33"/>
  <c r="N45" i="33" s="1"/>
  <c r="J45" i="33"/>
  <c r="B45" i="33"/>
  <c r="Z44" i="33"/>
  <c r="X44" i="33"/>
  <c r="N44" i="33"/>
  <c r="L44" i="33"/>
  <c r="J44" i="33"/>
  <c r="B44" i="33"/>
  <c r="Z43" i="33"/>
  <c r="X43" i="33"/>
  <c r="V43" i="33"/>
  <c r="T43" i="33"/>
  <c r="P43" i="33"/>
  <c r="N43" i="33"/>
  <c r="H43" i="33"/>
  <c r="L43" i="33" s="1"/>
  <c r="D43" i="33"/>
  <c r="B43" i="33"/>
  <c r="Z42" i="33"/>
  <c r="X42" i="33"/>
  <c r="N42" i="33"/>
  <c r="L42" i="33"/>
  <c r="J42" i="33"/>
  <c r="B42" i="33"/>
  <c r="X41" i="33"/>
  <c r="Z41" i="33" s="1"/>
  <c r="V41" i="33"/>
  <c r="N41" i="33"/>
  <c r="L41" i="33"/>
  <c r="B41" i="33"/>
  <c r="Z40" i="33"/>
  <c r="X40" i="33"/>
  <c r="V40" i="33"/>
  <c r="L40" i="33"/>
  <c r="N40" i="33" s="1"/>
  <c r="B40" i="33"/>
  <c r="Z39" i="33"/>
  <c r="X39" i="33"/>
  <c r="V39" i="33"/>
  <c r="N39" i="33"/>
  <c r="L39" i="33"/>
  <c r="B39" i="33"/>
  <c r="X38" i="33"/>
  <c r="Z38" i="33" s="1"/>
  <c r="L38" i="33"/>
  <c r="N38" i="33" s="1"/>
  <c r="J38" i="33"/>
  <c r="B38" i="33"/>
  <c r="X37" i="33"/>
  <c r="Z37" i="33" s="1"/>
  <c r="V37" i="33"/>
  <c r="N37" i="33"/>
  <c r="L37" i="33"/>
  <c r="B37" i="33"/>
  <c r="Z36" i="33"/>
  <c r="X36" i="33"/>
  <c r="V36" i="33"/>
  <c r="L36" i="33"/>
  <c r="N36" i="33" s="1"/>
  <c r="J36" i="33"/>
  <c r="B36" i="33"/>
  <c r="Z35" i="33"/>
  <c r="X35" i="33"/>
  <c r="V35" i="33"/>
  <c r="L35" i="33"/>
  <c r="N35" i="33" s="1"/>
  <c r="B35" i="33"/>
  <c r="X34" i="33"/>
  <c r="Z34" i="33" s="1"/>
  <c r="L34" i="33"/>
  <c r="N34" i="33" s="1"/>
  <c r="J34" i="33"/>
  <c r="B34" i="33"/>
  <c r="V33" i="33"/>
  <c r="T33" i="33"/>
  <c r="P33" i="33"/>
  <c r="X33" i="33" s="1"/>
  <c r="J33" i="33"/>
  <c r="H33" i="33"/>
  <c r="D33" i="33"/>
  <c r="L33" i="33" s="1"/>
  <c r="B33" i="33"/>
  <c r="T32" i="33"/>
  <c r="P32" i="33"/>
  <c r="L32" i="33"/>
  <c r="J32" i="33"/>
  <c r="H32" i="33"/>
  <c r="D32" i="33"/>
  <c r="T30" i="33"/>
  <c r="Z28" i="33"/>
  <c r="X28" i="33"/>
  <c r="N28" i="33"/>
  <c r="L28" i="33"/>
  <c r="B28" i="33"/>
  <c r="Z27" i="33"/>
  <c r="X27" i="33"/>
  <c r="N27" i="33"/>
  <c r="L27" i="33"/>
  <c r="J27" i="33"/>
  <c r="B27" i="33"/>
  <c r="X26" i="33"/>
  <c r="T26" i="33"/>
  <c r="Z26" i="33" s="1"/>
  <c r="P26" i="33"/>
  <c r="L26" i="33"/>
  <c r="H26" i="33"/>
  <c r="D26" i="33"/>
  <c r="Z24" i="33"/>
  <c r="X24" i="33"/>
  <c r="P24" i="33"/>
  <c r="N24" i="33"/>
  <c r="L24" i="33"/>
  <c r="D24" i="33"/>
  <c r="B24" i="33"/>
  <c r="Z23" i="33"/>
  <c r="P23" i="33"/>
  <c r="X23" i="33" s="1"/>
  <c r="N23" i="33"/>
  <c r="L23" i="33"/>
  <c r="D23" i="33"/>
  <c r="B23" i="33"/>
  <c r="Z22" i="33"/>
  <c r="P22" i="33"/>
  <c r="X22" i="33" s="1"/>
  <c r="N22" i="33"/>
  <c r="D22" i="33"/>
  <c r="L22" i="33" s="1"/>
  <c r="B22" i="33"/>
  <c r="Z21" i="33"/>
  <c r="P21" i="33"/>
  <c r="X21" i="33" s="1"/>
  <c r="N21" i="33"/>
  <c r="L21" i="33"/>
  <c r="D21" i="33"/>
  <c r="B21" i="33"/>
  <c r="Z20" i="33"/>
  <c r="X20" i="33"/>
  <c r="P20" i="33"/>
  <c r="N20" i="33"/>
  <c r="D20" i="33"/>
  <c r="L20" i="33" s="1"/>
  <c r="B20" i="33"/>
  <c r="Z19" i="33"/>
  <c r="P19" i="33"/>
  <c r="X19" i="33" s="1"/>
  <c r="N19" i="33"/>
  <c r="D19" i="33"/>
  <c r="L19" i="33" s="1"/>
  <c r="B19" i="33"/>
  <c r="X18" i="33"/>
  <c r="Z18" i="33" s="1"/>
  <c r="P18" i="33"/>
  <c r="D18" i="33"/>
  <c r="L18" i="33" s="1"/>
  <c r="N18" i="33" s="1"/>
  <c r="B18" i="33"/>
  <c r="Z17" i="33"/>
  <c r="P17" i="33"/>
  <c r="X17" i="33" s="1"/>
  <c r="N17" i="33"/>
  <c r="L17" i="33"/>
  <c r="D17" i="33"/>
  <c r="B17" i="33"/>
  <c r="Z16" i="33"/>
  <c r="X16" i="33"/>
  <c r="P16" i="33"/>
  <c r="N16" i="33"/>
  <c r="D16" i="33"/>
  <c r="L16" i="33" s="1"/>
  <c r="B16" i="33"/>
  <c r="Z15" i="33"/>
  <c r="X15" i="33"/>
  <c r="P15" i="33"/>
  <c r="N15" i="33"/>
  <c r="L15" i="33"/>
  <c r="D15" i="33"/>
  <c r="B15" i="33"/>
  <c r="Z14" i="33"/>
  <c r="X14" i="33"/>
  <c r="P14" i="33"/>
  <c r="N14" i="33"/>
  <c r="L14" i="33"/>
  <c r="D14" i="33"/>
  <c r="B14" i="33"/>
  <c r="P13" i="33"/>
  <c r="L13" i="33"/>
  <c r="N13" i="33" s="1"/>
  <c r="D13" i="33"/>
  <c r="B13" i="33"/>
  <c r="T12" i="33"/>
  <c r="V74" i="33" s="1"/>
  <c r="H12" i="33"/>
  <c r="J66" i="33" s="1"/>
  <c r="D4" i="33"/>
  <c r="Z171" i="30"/>
  <c r="X171" i="30"/>
  <c r="L171" i="30"/>
  <c r="N171" i="30" s="1"/>
  <c r="Z167" i="30"/>
  <c r="X167" i="30"/>
  <c r="P167" i="30"/>
  <c r="N167" i="30"/>
  <c r="L167" i="30"/>
  <c r="D167" i="30"/>
  <c r="D164" i="30" s="1"/>
  <c r="L164" i="30" s="1"/>
  <c r="B167" i="30"/>
  <c r="X166" i="30"/>
  <c r="Z166" i="30" s="1"/>
  <c r="P166" i="30"/>
  <c r="D166" i="30"/>
  <c r="L166" i="30" s="1"/>
  <c r="N166" i="30" s="1"/>
  <c r="B166" i="30"/>
  <c r="P165" i="30"/>
  <c r="D165" i="30"/>
  <c r="L165" i="30" s="1"/>
  <c r="N165" i="30" s="1"/>
  <c r="B165" i="30"/>
  <c r="T164" i="30"/>
  <c r="H164" i="30"/>
  <c r="Z162" i="30"/>
  <c r="X162" i="30"/>
  <c r="L162" i="30"/>
  <c r="N162" i="30" s="1"/>
  <c r="B162" i="30"/>
  <c r="T161" i="30"/>
  <c r="P161" i="30"/>
  <c r="N161" i="30"/>
  <c r="L161" i="30"/>
  <c r="H161" i="30"/>
  <c r="D161" i="30"/>
  <c r="B161" i="30"/>
  <c r="X160" i="30"/>
  <c r="Z160" i="30" s="1"/>
  <c r="L160" i="30"/>
  <c r="N160" i="30" s="1"/>
  <c r="B160" i="30"/>
  <c r="Z159" i="30"/>
  <c r="X159" i="30"/>
  <c r="L159" i="30"/>
  <c r="N159" i="30" s="1"/>
  <c r="B159" i="30"/>
  <c r="X158" i="30"/>
  <c r="T158" i="30"/>
  <c r="Z158" i="30" s="1"/>
  <c r="P158" i="30"/>
  <c r="H158" i="30"/>
  <c r="D158" i="30"/>
  <c r="L158" i="30" s="1"/>
  <c r="N158" i="30" s="1"/>
  <c r="B158" i="30"/>
  <c r="Z157" i="30"/>
  <c r="X157" i="30"/>
  <c r="N157" i="30"/>
  <c r="L157" i="30"/>
  <c r="B157" i="30"/>
  <c r="X156" i="30"/>
  <c r="T156" i="30"/>
  <c r="P156" i="30"/>
  <c r="L156" i="30"/>
  <c r="H156" i="30"/>
  <c r="N156" i="30" s="1"/>
  <c r="D156" i="30"/>
  <c r="B156" i="30"/>
  <c r="Z155" i="30"/>
  <c r="X155" i="30"/>
  <c r="N155" i="30"/>
  <c r="L155" i="30"/>
  <c r="B155" i="30"/>
  <c r="Z154" i="30"/>
  <c r="X154" i="30"/>
  <c r="L154" i="30"/>
  <c r="N154" i="30" s="1"/>
  <c r="B154" i="30"/>
  <c r="T153" i="30"/>
  <c r="X153" i="30" s="1"/>
  <c r="P153" i="30"/>
  <c r="N153" i="30"/>
  <c r="L153" i="30"/>
  <c r="H153" i="30"/>
  <c r="D153" i="30"/>
  <c r="B153" i="30"/>
  <c r="X152" i="30"/>
  <c r="Z152" i="30" s="1"/>
  <c r="L152" i="30"/>
  <c r="N152" i="30" s="1"/>
  <c r="B152" i="30"/>
  <c r="Z151" i="30"/>
  <c r="X151" i="30"/>
  <c r="L151" i="30"/>
  <c r="N151" i="30" s="1"/>
  <c r="B151" i="30"/>
  <c r="X150" i="30"/>
  <c r="Z150" i="30" s="1"/>
  <c r="N150" i="30"/>
  <c r="L150" i="30"/>
  <c r="B150" i="30"/>
  <c r="Z149" i="30"/>
  <c r="X149" i="30"/>
  <c r="N149" i="30"/>
  <c r="L149" i="30"/>
  <c r="B149" i="30"/>
  <c r="X148" i="30"/>
  <c r="Z148" i="30" s="1"/>
  <c r="L148" i="30"/>
  <c r="N148" i="30" s="1"/>
  <c r="B148" i="30"/>
  <c r="Z147" i="30"/>
  <c r="X147" i="30"/>
  <c r="L147" i="30"/>
  <c r="N147" i="30" s="1"/>
  <c r="B147" i="30"/>
  <c r="X146" i="30"/>
  <c r="Z146" i="30" s="1"/>
  <c r="L146" i="30"/>
  <c r="N146" i="30" s="1"/>
  <c r="B146" i="30"/>
  <c r="Z145" i="30"/>
  <c r="X145" i="30"/>
  <c r="N145" i="30"/>
  <c r="L145" i="30"/>
  <c r="B145" i="30"/>
  <c r="T144" i="30"/>
  <c r="P144" i="30"/>
  <c r="X144" i="30" s="1"/>
  <c r="Z144" i="30" s="1"/>
  <c r="L144" i="30"/>
  <c r="N144" i="30" s="1"/>
  <c r="H144" i="30"/>
  <c r="D144" i="30"/>
  <c r="B144" i="30"/>
  <c r="Z143" i="30"/>
  <c r="X143" i="30"/>
  <c r="N143" i="30"/>
  <c r="L143" i="30"/>
  <c r="B143" i="30"/>
  <c r="X142" i="30"/>
  <c r="Z142" i="30" s="1"/>
  <c r="N142" i="30"/>
  <c r="L142" i="30"/>
  <c r="B142" i="30"/>
  <c r="T141" i="30"/>
  <c r="P141" i="30"/>
  <c r="X141" i="30" s="1"/>
  <c r="Z141" i="30" s="1"/>
  <c r="N141" i="30"/>
  <c r="L141" i="30"/>
  <c r="H141" i="30"/>
  <c r="D141" i="30"/>
  <c r="B141" i="30"/>
  <c r="X140" i="30"/>
  <c r="Z140" i="30" s="1"/>
  <c r="L140" i="30"/>
  <c r="N140" i="30" s="1"/>
  <c r="J140" i="30"/>
  <c r="B140" i="30"/>
  <c r="Z139" i="30"/>
  <c r="X139" i="30"/>
  <c r="N139" i="30"/>
  <c r="L139" i="30"/>
  <c r="B139" i="30"/>
  <c r="Z138" i="30"/>
  <c r="X138" i="30"/>
  <c r="N138" i="30"/>
  <c r="L138" i="30"/>
  <c r="B138" i="30"/>
  <c r="T137" i="30"/>
  <c r="P137" i="30"/>
  <c r="N137" i="30"/>
  <c r="L137" i="30"/>
  <c r="H137" i="30"/>
  <c r="D137" i="30"/>
  <c r="B137" i="30"/>
  <c r="X136" i="30"/>
  <c r="Z136" i="30" s="1"/>
  <c r="L136" i="30"/>
  <c r="N136" i="30" s="1"/>
  <c r="B136" i="30"/>
  <c r="Z135" i="30"/>
  <c r="X135" i="30"/>
  <c r="L135" i="30"/>
  <c r="N135" i="30" s="1"/>
  <c r="B135" i="30"/>
  <c r="X134" i="30"/>
  <c r="Z134" i="30" s="1"/>
  <c r="L134" i="30"/>
  <c r="N134" i="30" s="1"/>
  <c r="B134" i="30"/>
  <c r="X133" i="30"/>
  <c r="V133" i="30"/>
  <c r="T133" i="30"/>
  <c r="Z133" i="30" s="1"/>
  <c r="P133" i="30"/>
  <c r="H133" i="30"/>
  <c r="D133" i="30"/>
  <c r="L133" i="30" s="1"/>
  <c r="N133" i="30" s="1"/>
  <c r="B133" i="30"/>
  <c r="X132" i="30"/>
  <c r="Z132" i="30" s="1"/>
  <c r="N132" i="30"/>
  <c r="L132" i="30"/>
  <c r="B132" i="30"/>
  <c r="Z131" i="30"/>
  <c r="X131" i="30"/>
  <c r="N131" i="30"/>
  <c r="L131" i="30"/>
  <c r="B131" i="30"/>
  <c r="Z130" i="30"/>
  <c r="X130" i="30"/>
  <c r="N130" i="30"/>
  <c r="L130" i="30"/>
  <c r="B130" i="30"/>
  <c r="Z129" i="30"/>
  <c r="T129" i="30"/>
  <c r="P129" i="30"/>
  <c r="X129" i="30" s="1"/>
  <c r="L129" i="30"/>
  <c r="H129" i="30"/>
  <c r="N129" i="30" s="1"/>
  <c r="D129" i="30"/>
  <c r="B129" i="30"/>
  <c r="X128" i="30"/>
  <c r="Z128" i="30" s="1"/>
  <c r="N128" i="30"/>
  <c r="L128" i="30"/>
  <c r="B128" i="30"/>
  <c r="Z127" i="30"/>
  <c r="X127" i="30"/>
  <c r="T127" i="30"/>
  <c r="P127" i="30"/>
  <c r="N127" i="30"/>
  <c r="H127" i="30"/>
  <c r="L127" i="30" s="1"/>
  <c r="D127" i="30"/>
  <c r="B127" i="30"/>
  <c r="X126" i="30"/>
  <c r="Z126" i="30" s="1"/>
  <c r="N126" i="30"/>
  <c r="L126" i="30"/>
  <c r="B126" i="30"/>
  <c r="X125" i="30"/>
  <c r="T125" i="30"/>
  <c r="Z125" i="30" s="1"/>
  <c r="P125" i="30"/>
  <c r="H125" i="30"/>
  <c r="N125" i="30" s="1"/>
  <c r="D125" i="30"/>
  <c r="L125" i="30" s="1"/>
  <c r="B125" i="30"/>
  <c r="Z124" i="30"/>
  <c r="X124" i="30"/>
  <c r="N124" i="30"/>
  <c r="L124" i="30"/>
  <c r="B124" i="30"/>
  <c r="X123" i="30"/>
  <c r="Z123" i="30" s="1"/>
  <c r="N123" i="30"/>
  <c r="L123" i="30"/>
  <c r="B123" i="30"/>
  <c r="X122" i="30"/>
  <c r="T122" i="30"/>
  <c r="Z122" i="30" s="1"/>
  <c r="P122" i="30"/>
  <c r="L122" i="30"/>
  <c r="H122" i="30"/>
  <c r="D122" i="30"/>
  <c r="B122" i="30"/>
  <c r="Z121" i="30"/>
  <c r="X121" i="30"/>
  <c r="L121" i="30"/>
  <c r="N121" i="30" s="1"/>
  <c r="B121" i="30"/>
  <c r="T120" i="30"/>
  <c r="P120" i="30"/>
  <c r="N120" i="30"/>
  <c r="H120" i="30"/>
  <c r="D120" i="30"/>
  <c r="L120" i="30" s="1"/>
  <c r="B120" i="30"/>
  <c r="Z119" i="30"/>
  <c r="X119" i="30"/>
  <c r="L119" i="30"/>
  <c r="N119" i="30" s="1"/>
  <c r="B119" i="30"/>
  <c r="X118" i="30"/>
  <c r="Z118" i="30" s="1"/>
  <c r="N118" i="30"/>
  <c r="L118" i="30"/>
  <c r="B118" i="30"/>
  <c r="X117" i="30"/>
  <c r="T117" i="30"/>
  <c r="Z117" i="30" s="1"/>
  <c r="P117" i="30"/>
  <c r="H117" i="30"/>
  <c r="N117" i="30" s="1"/>
  <c r="D117" i="30"/>
  <c r="L117" i="30" s="1"/>
  <c r="B117" i="30"/>
  <c r="X116" i="30"/>
  <c r="Z116" i="30" s="1"/>
  <c r="L116" i="30"/>
  <c r="N116" i="30" s="1"/>
  <c r="B116" i="30"/>
  <c r="Z115" i="30"/>
  <c r="X115" i="30"/>
  <c r="N115" i="30"/>
  <c r="L115" i="30"/>
  <c r="B115" i="30"/>
  <c r="X114" i="30"/>
  <c r="T114" i="30"/>
  <c r="P114" i="30"/>
  <c r="H114" i="30"/>
  <c r="D114" i="30"/>
  <c r="B114" i="30"/>
  <c r="X113" i="30"/>
  <c r="Z113" i="30" s="1"/>
  <c r="L113" i="30"/>
  <c r="N113" i="30" s="1"/>
  <c r="B113" i="30"/>
  <c r="T112" i="30"/>
  <c r="P112" i="30"/>
  <c r="H112" i="30"/>
  <c r="D112" i="30"/>
  <c r="B112" i="30"/>
  <c r="Z111" i="30"/>
  <c r="X111" i="30"/>
  <c r="N111" i="30"/>
  <c r="L111" i="30"/>
  <c r="B111" i="30"/>
  <c r="X110" i="30"/>
  <c r="T110" i="30"/>
  <c r="Z110" i="30" s="1"/>
  <c r="P110" i="30"/>
  <c r="N110" i="30"/>
  <c r="H110" i="30"/>
  <c r="D110" i="30"/>
  <c r="L110" i="30" s="1"/>
  <c r="B110" i="30"/>
  <c r="Z109" i="30"/>
  <c r="X109" i="30"/>
  <c r="N109" i="30"/>
  <c r="L109" i="30"/>
  <c r="B109" i="30"/>
  <c r="T108" i="30"/>
  <c r="P108" i="30"/>
  <c r="L108" i="30"/>
  <c r="H108" i="30"/>
  <c r="D108" i="30"/>
  <c r="B108" i="30"/>
  <c r="Z107" i="30"/>
  <c r="X107" i="30"/>
  <c r="N107" i="30"/>
  <c r="L107" i="30"/>
  <c r="B107" i="30"/>
  <c r="T106" i="30"/>
  <c r="P106" i="30"/>
  <c r="H106" i="30"/>
  <c r="D106" i="30"/>
  <c r="B106" i="30"/>
  <c r="X105" i="30"/>
  <c r="Z105" i="30" s="1"/>
  <c r="N105" i="30"/>
  <c r="L105" i="30"/>
  <c r="B105" i="30"/>
  <c r="T104" i="30"/>
  <c r="P104" i="30"/>
  <c r="X104" i="30" s="1"/>
  <c r="Z104" i="30" s="1"/>
  <c r="L104" i="30"/>
  <c r="N104" i="30" s="1"/>
  <c r="H104" i="30"/>
  <c r="D104" i="30"/>
  <c r="B104" i="30"/>
  <c r="X103" i="30"/>
  <c r="Z103" i="30" s="1"/>
  <c r="N103" i="30"/>
  <c r="L103" i="30"/>
  <c r="B103" i="30"/>
  <c r="X102" i="30"/>
  <c r="T102" i="30"/>
  <c r="P102" i="30"/>
  <c r="L102" i="30"/>
  <c r="N102" i="30" s="1"/>
  <c r="H102" i="30"/>
  <c r="D102" i="30"/>
  <c r="B102" i="30"/>
  <c r="Z101" i="30"/>
  <c r="X101" i="30"/>
  <c r="N101" i="30"/>
  <c r="L101" i="30"/>
  <c r="B101" i="30"/>
  <c r="Z100" i="30"/>
  <c r="X100" i="30"/>
  <c r="N100" i="30"/>
  <c r="L100" i="30"/>
  <c r="B100" i="30"/>
  <c r="X99" i="30"/>
  <c r="Z99" i="30" s="1"/>
  <c r="N99" i="30"/>
  <c r="L99" i="30"/>
  <c r="B99" i="30"/>
  <c r="Z98" i="30"/>
  <c r="X98" i="30"/>
  <c r="N98" i="30"/>
  <c r="L98" i="30"/>
  <c r="B98" i="30"/>
  <c r="Z97" i="30"/>
  <c r="X97" i="30"/>
  <c r="N97" i="30"/>
  <c r="L97" i="30"/>
  <c r="B97" i="30"/>
  <c r="Z96" i="30"/>
  <c r="X96" i="30"/>
  <c r="N96" i="30"/>
  <c r="L96" i="30"/>
  <c r="B96" i="30"/>
  <c r="X95" i="30"/>
  <c r="Z95" i="30" s="1"/>
  <c r="N95" i="30"/>
  <c r="L95" i="30"/>
  <c r="B95" i="30"/>
  <c r="Z94" i="30"/>
  <c r="X94" i="30"/>
  <c r="N94" i="30"/>
  <c r="L94" i="30"/>
  <c r="B94" i="30"/>
  <c r="X93" i="30"/>
  <c r="Z93" i="30" s="1"/>
  <c r="L93" i="30"/>
  <c r="N93" i="30" s="1"/>
  <c r="B93" i="30"/>
  <c r="Z92" i="30"/>
  <c r="X92" i="30"/>
  <c r="N92" i="30"/>
  <c r="L92" i="30"/>
  <c r="B92" i="30"/>
  <c r="T91" i="30"/>
  <c r="P91" i="30"/>
  <c r="X91" i="30" s="1"/>
  <c r="Z91" i="30" s="1"/>
  <c r="N91" i="30"/>
  <c r="L91" i="30"/>
  <c r="J91" i="30"/>
  <c r="H91" i="30"/>
  <c r="D91" i="30"/>
  <c r="B91" i="30"/>
  <c r="X90" i="30"/>
  <c r="Z90" i="30" s="1"/>
  <c r="L90" i="30"/>
  <c r="N90" i="30" s="1"/>
  <c r="B90" i="30"/>
  <c r="Z89" i="30"/>
  <c r="X89" i="30"/>
  <c r="L89" i="30"/>
  <c r="N89" i="30" s="1"/>
  <c r="B89" i="30"/>
  <c r="X88" i="30"/>
  <c r="Z88" i="30" s="1"/>
  <c r="L88" i="30"/>
  <c r="N88" i="30" s="1"/>
  <c r="B88" i="30"/>
  <c r="Z87" i="30"/>
  <c r="X87" i="30"/>
  <c r="V87" i="30"/>
  <c r="N87" i="30"/>
  <c r="L87" i="30"/>
  <c r="B87" i="30"/>
  <c r="X86" i="30"/>
  <c r="Z86" i="30" s="1"/>
  <c r="L86" i="30"/>
  <c r="N86" i="30" s="1"/>
  <c r="B86" i="30"/>
  <c r="X85" i="30"/>
  <c r="Z85" i="30" s="1"/>
  <c r="L85" i="30"/>
  <c r="N85" i="30" s="1"/>
  <c r="B85" i="30"/>
  <c r="X84" i="30"/>
  <c r="Z84" i="30" s="1"/>
  <c r="L84" i="30"/>
  <c r="N84" i="30" s="1"/>
  <c r="B84" i="30"/>
  <c r="X83" i="30"/>
  <c r="Z83" i="30" s="1"/>
  <c r="V83" i="30"/>
  <c r="N83" i="30"/>
  <c r="L83" i="30"/>
  <c r="B83" i="30"/>
  <c r="X82" i="30"/>
  <c r="Z82" i="30" s="1"/>
  <c r="L82" i="30"/>
  <c r="N82" i="30" s="1"/>
  <c r="B82" i="30"/>
  <c r="T81" i="30"/>
  <c r="P81" i="30"/>
  <c r="X81" i="30" s="1"/>
  <c r="Z81" i="30" s="1"/>
  <c r="J81" i="30"/>
  <c r="H81" i="30"/>
  <c r="D81" i="30"/>
  <c r="L81" i="30" s="1"/>
  <c r="B81" i="30"/>
  <c r="X80" i="30"/>
  <c r="T80" i="30"/>
  <c r="Z80" i="30" s="1"/>
  <c r="P80" i="30"/>
  <c r="H80" i="30"/>
  <c r="D80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J73" i="30"/>
  <c r="B73" i="30"/>
  <c r="Z72" i="30"/>
  <c r="X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J69" i="30"/>
  <c r="B69" i="30"/>
  <c r="Z68" i="30"/>
  <c r="X68" i="30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J65" i="30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N61" i="30"/>
  <c r="L61" i="30"/>
  <c r="J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J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X53" i="30"/>
  <c r="Z53" i="30" s="1"/>
  <c r="N53" i="30"/>
  <c r="L53" i="30"/>
  <c r="J53" i="30"/>
  <c r="B53" i="30"/>
  <c r="X52" i="30"/>
  <c r="T52" i="30"/>
  <c r="Z52" i="30" s="1"/>
  <c r="P52" i="30"/>
  <c r="H52" i="30"/>
  <c r="H78" i="30" s="1"/>
  <c r="D52" i="30"/>
  <c r="Z50" i="30"/>
  <c r="X50" i="30"/>
  <c r="P50" i="30"/>
  <c r="N50" i="30"/>
  <c r="L50" i="30"/>
  <c r="D50" i="30"/>
  <c r="B50" i="30"/>
  <c r="Z49" i="30"/>
  <c r="P49" i="30"/>
  <c r="X49" i="30" s="1"/>
  <c r="N49" i="30"/>
  <c r="L49" i="30"/>
  <c r="D49" i="30"/>
  <c r="B49" i="30"/>
  <c r="Z48" i="30"/>
  <c r="P48" i="30"/>
  <c r="X48" i="30" s="1"/>
  <c r="N48" i="30"/>
  <c r="D48" i="30"/>
  <c r="L48" i="30" s="1"/>
  <c r="B48" i="30"/>
  <c r="Z47" i="30"/>
  <c r="P47" i="30"/>
  <c r="X47" i="30" s="1"/>
  <c r="N47" i="30"/>
  <c r="L47" i="30"/>
  <c r="D47" i="30"/>
  <c r="B47" i="30"/>
  <c r="Z46" i="30"/>
  <c r="X46" i="30"/>
  <c r="P46" i="30"/>
  <c r="N46" i="30"/>
  <c r="D46" i="30"/>
  <c r="L46" i="30" s="1"/>
  <c r="B46" i="30"/>
  <c r="Z45" i="30"/>
  <c r="P45" i="30"/>
  <c r="X45" i="30" s="1"/>
  <c r="N45" i="30"/>
  <c r="D45" i="30"/>
  <c r="L45" i="30" s="1"/>
  <c r="B45" i="30"/>
  <c r="Z44" i="30"/>
  <c r="X44" i="30"/>
  <c r="P44" i="30"/>
  <c r="N44" i="30"/>
  <c r="D44" i="30"/>
  <c r="L44" i="30" s="1"/>
  <c r="B44" i="30"/>
  <c r="Z43" i="30"/>
  <c r="P43" i="30"/>
  <c r="X43" i="30" s="1"/>
  <c r="N43" i="30"/>
  <c r="L43" i="30"/>
  <c r="D43" i="30"/>
  <c r="B43" i="30"/>
  <c r="Z42" i="30"/>
  <c r="X42" i="30"/>
  <c r="P42" i="30"/>
  <c r="N42" i="30"/>
  <c r="D42" i="30"/>
  <c r="L42" i="30" s="1"/>
  <c r="B42" i="30"/>
  <c r="Z41" i="30"/>
  <c r="X41" i="30"/>
  <c r="P41" i="30"/>
  <c r="N41" i="30"/>
  <c r="L41" i="30"/>
  <c r="D41" i="30"/>
  <c r="B41" i="30"/>
  <c r="Z40" i="30"/>
  <c r="X40" i="30"/>
  <c r="P40" i="30"/>
  <c r="N40" i="30"/>
  <c r="D40" i="30"/>
  <c r="L40" i="30" s="1"/>
  <c r="B40" i="30"/>
  <c r="Z39" i="30"/>
  <c r="P39" i="30"/>
  <c r="X39" i="30" s="1"/>
  <c r="N39" i="30"/>
  <c r="L39" i="30"/>
  <c r="D39" i="30"/>
  <c r="B39" i="30"/>
  <c r="Z38" i="30"/>
  <c r="X38" i="30"/>
  <c r="P38" i="30"/>
  <c r="N38" i="30"/>
  <c r="L38" i="30"/>
  <c r="D38" i="30"/>
  <c r="B38" i="30"/>
  <c r="Z37" i="30"/>
  <c r="P37" i="30"/>
  <c r="X37" i="30" s="1"/>
  <c r="N37" i="30"/>
  <c r="L37" i="30"/>
  <c r="D37" i="30"/>
  <c r="B37" i="30"/>
  <c r="Z36" i="30"/>
  <c r="P36" i="30"/>
  <c r="X36" i="30" s="1"/>
  <c r="N36" i="30"/>
  <c r="D36" i="30"/>
  <c r="L36" i="30" s="1"/>
  <c r="B36" i="30"/>
  <c r="Z35" i="30"/>
  <c r="P35" i="30"/>
  <c r="X35" i="30" s="1"/>
  <c r="N35" i="30"/>
  <c r="L35" i="30"/>
  <c r="D35" i="30"/>
  <c r="B35" i="30"/>
  <c r="Z34" i="30"/>
  <c r="X34" i="30"/>
  <c r="P34" i="30"/>
  <c r="N34" i="30"/>
  <c r="D34" i="30"/>
  <c r="L34" i="30" s="1"/>
  <c r="B34" i="30"/>
  <c r="Z33" i="30"/>
  <c r="P33" i="30"/>
  <c r="X33" i="30" s="1"/>
  <c r="N33" i="30"/>
  <c r="D33" i="30"/>
  <c r="L33" i="30" s="1"/>
  <c r="B33" i="30"/>
  <c r="Z32" i="30"/>
  <c r="X32" i="30"/>
  <c r="P32" i="30"/>
  <c r="N32" i="30"/>
  <c r="D32" i="30"/>
  <c r="L32" i="30" s="1"/>
  <c r="B32" i="30"/>
  <c r="Z31" i="30"/>
  <c r="P31" i="30"/>
  <c r="X31" i="30" s="1"/>
  <c r="N31" i="30"/>
  <c r="L31" i="30"/>
  <c r="D31" i="30"/>
  <c r="B31" i="30"/>
  <c r="Z30" i="30"/>
  <c r="X30" i="30"/>
  <c r="P30" i="30"/>
  <c r="N30" i="30"/>
  <c r="D30" i="30"/>
  <c r="L30" i="30" s="1"/>
  <c r="B30" i="30"/>
  <c r="Z29" i="30"/>
  <c r="X29" i="30"/>
  <c r="P29" i="30"/>
  <c r="N29" i="30"/>
  <c r="L29" i="30"/>
  <c r="D29" i="30"/>
  <c r="B29" i="30"/>
  <c r="Z28" i="30"/>
  <c r="X28" i="30"/>
  <c r="P28" i="30"/>
  <c r="N28" i="30"/>
  <c r="D28" i="30"/>
  <c r="L28" i="30" s="1"/>
  <c r="B28" i="30"/>
  <c r="Z27" i="30"/>
  <c r="P27" i="30"/>
  <c r="X27" i="30" s="1"/>
  <c r="N27" i="30"/>
  <c r="L27" i="30"/>
  <c r="D27" i="30"/>
  <c r="B27" i="30"/>
  <c r="Z26" i="30"/>
  <c r="X26" i="30"/>
  <c r="P26" i="30"/>
  <c r="N26" i="30"/>
  <c r="L26" i="30"/>
  <c r="D26" i="30"/>
  <c r="B26" i="30"/>
  <c r="Z25" i="30"/>
  <c r="P25" i="30"/>
  <c r="X25" i="30" s="1"/>
  <c r="N25" i="30"/>
  <c r="L25" i="30"/>
  <c r="D25" i="30"/>
  <c r="B25" i="30"/>
  <c r="Z24" i="30"/>
  <c r="P24" i="30"/>
  <c r="X24" i="30" s="1"/>
  <c r="N24" i="30"/>
  <c r="D24" i="30"/>
  <c r="L24" i="30" s="1"/>
  <c r="B24" i="30"/>
  <c r="Z23" i="30"/>
  <c r="P23" i="30"/>
  <c r="X23" i="30" s="1"/>
  <c r="N23" i="30"/>
  <c r="L23" i="30"/>
  <c r="D23" i="30"/>
  <c r="B23" i="30"/>
  <c r="Z22" i="30"/>
  <c r="X22" i="30"/>
  <c r="P22" i="30"/>
  <c r="N22" i="30"/>
  <c r="D22" i="30"/>
  <c r="L22" i="30" s="1"/>
  <c r="B22" i="30"/>
  <c r="Z21" i="30"/>
  <c r="P21" i="30"/>
  <c r="X21" i="30" s="1"/>
  <c r="N21" i="30"/>
  <c r="D21" i="30"/>
  <c r="L21" i="30" s="1"/>
  <c r="B21" i="30"/>
  <c r="Z20" i="30"/>
  <c r="X20" i="30"/>
  <c r="P20" i="30"/>
  <c r="N20" i="30"/>
  <c r="D20" i="30"/>
  <c r="L20" i="30" s="1"/>
  <c r="B20" i="30"/>
  <c r="Z19" i="30"/>
  <c r="P19" i="30"/>
  <c r="X19" i="30" s="1"/>
  <c r="N19" i="30"/>
  <c r="L19" i="30"/>
  <c r="D19" i="30"/>
  <c r="B19" i="30"/>
  <c r="Z18" i="30"/>
  <c r="X18" i="30"/>
  <c r="P18" i="30"/>
  <c r="N18" i="30"/>
  <c r="D18" i="30"/>
  <c r="L18" i="30" s="1"/>
  <c r="B18" i="30"/>
  <c r="Z17" i="30"/>
  <c r="X17" i="30"/>
  <c r="P17" i="30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P15" i="30"/>
  <c r="X15" i="30" s="1"/>
  <c r="N15" i="30"/>
  <c r="L15" i="30"/>
  <c r="D15" i="30"/>
  <c r="B15" i="30"/>
  <c r="Z14" i="30"/>
  <c r="X14" i="30"/>
  <c r="P14" i="30"/>
  <c r="N14" i="30"/>
  <c r="L14" i="30"/>
  <c r="D14" i="30"/>
  <c r="B14" i="30"/>
  <c r="P13" i="30"/>
  <c r="L13" i="30"/>
  <c r="N13" i="30" s="1"/>
  <c r="D13" i="30"/>
  <c r="B13" i="30"/>
  <c r="T12" i="30"/>
  <c r="H12" i="30"/>
  <c r="D12" i="30"/>
  <c r="F81" i="30" s="1"/>
  <c r="D4" i="30"/>
  <c r="Z122" i="27"/>
  <c r="X122" i="27"/>
  <c r="N122" i="27"/>
  <c r="L122" i="27"/>
  <c r="J122" i="27"/>
  <c r="Z118" i="27"/>
  <c r="P118" i="27"/>
  <c r="X118" i="27" s="1"/>
  <c r="N118" i="27"/>
  <c r="L118" i="27"/>
  <c r="D118" i="27"/>
  <c r="B118" i="27"/>
  <c r="X117" i="27"/>
  <c r="Z117" i="27" s="1"/>
  <c r="P117" i="27"/>
  <c r="N117" i="27"/>
  <c r="D117" i="27"/>
  <c r="L117" i="27" s="1"/>
  <c r="B117" i="27"/>
  <c r="Z116" i="27"/>
  <c r="X116" i="27"/>
  <c r="V116" i="27"/>
  <c r="P116" i="27"/>
  <c r="L116" i="27"/>
  <c r="N116" i="27" s="1"/>
  <c r="D116" i="27"/>
  <c r="D115" i="27" s="1"/>
  <c r="L115" i="27" s="1"/>
  <c r="B116" i="27"/>
  <c r="T115" i="27"/>
  <c r="H115" i="27"/>
  <c r="Z113" i="27"/>
  <c r="X113" i="27"/>
  <c r="N113" i="27"/>
  <c r="L113" i="27"/>
  <c r="B113" i="27"/>
  <c r="Z112" i="27"/>
  <c r="T112" i="27"/>
  <c r="P112" i="27"/>
  <c r="X112" i="27" s="1"/>
  <c r="N112" i="27"/>
  <c r="H112" i="27"/>
  <c r="D112" i="27"/>
  <c r="L112" i="27" s="1"/>
  <c r="B112" i="27"/>
  <c r="Z111" i="27"/>
  <c r="X111" i="27"/>
  <c r="N111" i="27"/>
  <c r="L111" i="27"/>
  <c r="B111" i="27"/>
  <c r="T110" i="27"/>
  <c r="X110" i="27" s="1"/>
  <c r="Z110" i="27" s="1"/>
  <c r="P110" i="27"/>
  <c r="N110" i="27"/>
  <c r="L110" i="27"/>
  <c r="J110" i="27"/>
  <c r="H110" i="27"/>
  <c r="D110" i="27"/>
  <c r="B110" i="27"/>
  <c r="X109" i="27"/>
  <c r="Z109" i="27" s="1"/>
  <c r="L109" i="27"/>
  <c r="N109" i="27" s="1"/>
  <c r="B109" i="27"/>
  <c r="Z108" i="27"/>
  <c r="X108" i="27"/>
  <c r="L108" i="27"/>
  <c r="N108" i="27" s="1"/>
  <c r="B108" i="27"/>
  <c r="X107" i="27"/>
  <c r="Z107" i="27" s="1"/>
  <c r="T107" i="27"/>
  <c r="P107" i="27"/>
  <c r="H107" i="27"/>
  <c r="D107" i="27"/>
  <c r="L107" i="27" s="1"/>
  <c r="B107" i="27"/>
  <c r="Z106" i="27"/>
  <c r="X106" i="27"/>
  <c r="N106" i="27"/>
  <c r="L106" i="27"/>
  <c r="B106" i="27"/>
  <c r="X105" i="27"/>
  <c r="Z105" i="27" s="1"/>
  <c r="L105" i="27"/>
  <c r="N105" i="27" s="1"/>
  <c r="B105" i="27"/>
  <c r="X104" i="27"/>
  <c r="Z104" i="27" s="1"/>
  <c r="N104" i="27"/>
  <c r="L104" i="27"/>
  <c r="J104" i="27"/>
  <c r="B104" i="27"/>
  <c r="X103" i="27"/>
  <c r="T103" i="27"/>
  <c r="Z103" i="27" s="1"/>
  <c r="P103" i="27"/>
  <c r="H103" i="27"/>
  <c r="D103" i="27"/>
  <c r="B103" i="27"/>
  <c r="Z102" i="27"/>
  <c r="X102" i="27"/>
  <c r="N102" i="27"/>
  <c r="L102" i="27"/>
  <c r="J102" i="27"/>
  <c r="B102" i="27"/>
  <c r="X101" i="27"/>
  <c r="Z101" i="27" s="1"/>
  <c r="L101" i="27"/>
  <c r="N101" i="27" s="1"/>
  <c r="B101" i="27"/>
  <c r="Z100" i="27"/>
  <c r="X100" i="27"/>
  <c r="V100" i="27"/>
  <c r="T100" i="27"/>
  <c r="P100" i="27"/>
  <c r="H100" i="27"/>
  <c r="L100" i="27" s="1"/>
  <c r="N100" i="27" s="1"/>
  <c r="D100" i="27"/>
  <c r="B100" i="27"/>
  <c r="X99" i="27"/>
  <c r="Z99" i="27" s="1"/>
  <c r="L99" i="27"/>
  <c r="N99" i="27" s="1"/>
  <c r="B99" i="27"/>
  <c r="Z98" i="27"/>
  <c r="X98" i="27"/>
  <c r="V98" i="27"/>
  <c r="N98" i="27"/>
  <c r="L98" i="27"/>
  <c r="B98" i="27"/>
  <c r="T97" i="27"/>
  <c r="Z97" i="27" s="1"/>
  <c r="P97" i="27"/>
  <c r="X97" i="27" s="1"/>
  <c r="L97" i="27"/>
  <c r="N97" i="27" s="1"/>
  <c r="H97" i="27"/>
  <c r="D97" i="27"/>
  <c r="B97" i="27"/>
  <c r="X96" i="27"/>
  <c r="Z96" i="27" s="1"/>
  <c r="N96" i="27"/>
  <c r="L96" i="27"/>
  <c r="J96" i="27"/>
  <c r="B96" i="27"/>
  <c r="X95" i="27"/>
  <c r="T95" i="27"/>
  <c r="Z95" i="27" s="1"/>
  <c r="P95" i="27"/>
  <c r="H95" i="27"/>
  <c r="D95" i="27"/>
  <c r="B95" i="27"/>
  <c r="Z94" i="27"/>
  <c r="X94" i="27"/>
  <c r="N94" i="27"/>
  <c r="L94" i="27"/>
  <c r="J94" i="27"/>
  <c r="B94" i="27"/>
  <c r="X93" i="27"/>
  <c r="Z93" i="27" s="1"/>
  <c r="N93" i="27"/>
  <c r="L93" i="27"/>
  <c r="B93" i="27"/>
  <c r="Z92" i="27"/>
  <c r="X92" i="27"/>
  <c r="V92" i="27"/>
  <c r="T92" i="27"/>
  <c r="P92" i="27"/>
  <c r="N92" i="27"/>
  <c r="H92" i="27"/>
  <c r="L92" i="27" s="1"/>
  <c r="D92" i="27"/>
  <c r="B92" i="27"/>
  <c r="Z91" i="27"/>
  <c r="X91" i="27"/>
  <c r="N91" i="27"/>
  <c r="L91" i="27"/>
  <c r="B91" i="27"/>
  <c r="Z90" i="27"/>
  <c r="X90" i="27"/>
  <c r="V90" i="27"/>
  <c r="N90" i="27"/>
  <c r="L90" i="27"/>
  <c r="B90" i="27"/>
  <c r="T89" i="27"/>
  <c r="Z89" i="27" s="1"/>
  <c r="P89" i="27"/>
  <c r="X89" i="27" s="1"/>
  <c r="L89" i="27"/>
  <c r="N89" i="27" s="1"/>
  <c r="H89" i="27"/>
  <c r="D89" i="27"/>
  <c r="B89" i="27"/>
  <c r="X88" i="27"/>
  <c r="Z88" i="27" s="1"/>
  <c r="N88" i="27"/>
  <c r="L88" i="27"/>
  <c r="J88" i="27"/>
  <c r="B88" i="27"/>
  <c r="X87" i="27"/>
  <c r="T87" i="27"/>
  <c r="Z87" i="27" s="1"/>
  <c r="P87" i="27"/>
  <c r="H87" i="27"/>
  <c r="D87" i="27"/>
  <c r="B87" i="27"/>
  <c r="Z86" i="27"/>
  <c r="X86" i="27"/>
  <c r="N86" i="27"/>
  <c r="L86" i="27"/>
  <c r="J86" i="27"/>
  <c r="B86" i="27"/>
  <c r="T85" i="27"/>
  <c r="Z85" i="27" s="1"/>
  <c r="P85" i="27"/>
  <c r="X85" i="27" s="1"/>
  <c r="H85" i="27"/>
  <c r="D85" i="27"/>
  <c r="L85" i="27" s="1"/>
  <c r="B85" i="27"/>
  <c r="Z84" i="27"/>
  <c r="X84" i="27"/>
  <c r="N84" i="27"/>
  <c r="L84" i="27"/>
  <c r="B84" i="27"/>
  <c r="X83" i="27"/>
  <c r="Z83" i="27" s="1"/>
  <c r="L83" i="27"/>
  <c r="N83" i="27" s="1"/>
  <c r="B83" i="27"/>
  <c r="V82" i="27"/>
  <c r="T82" i="27"/>
  <c r="P82" i="27"/>
  <c r="X82" i="27" s="1"/>
  <c r="J82" i="27"/>
  <c r="H82" i="27"/>
  <c r="D82" i="27"/>
  <c r="L82" i="27" s="1"/>
  <c r="N82" i="27" s="1"/>
  <c r="B82" i="27"/>
  <c r="X81" i="27"/>
  <c r="Z81" i="27" s="1"/>
  <c r="L81" i="27"/>
  <c r="N81" i="27" s="1"/>
  <c r="B81" i="27"/>
  <c r="X80" i="27"/>
  <c r="Z80" i="27" s="1"/>
  <c r="T80" i="27"/>
  <c r="P80" i="27"/>
  <c r="N80" i="27"/>
  <c r="H80" i="27"/>
  <c r="D80" i="27"/>
  <c r="L80" i="27" s="1"/>
  <c r="B80" i="27"/>
  <c r="Z79" i="27"/>
  <c r="X79" i="27"/>
  <c r="N79" i="27"/>
  <c r="L79" i="27"/>
  <c r="B79" i="27"/>
  <c r="Z78" i="27"/>
  <c r="X78" i="27"/>
  <c r="N78" i="27"/>
  <c r="L78" i="27"/>
  <c r="J78" i="27"/>
  <c r="B78" i="27"/>
  <c r="X77" i="27"/>
  <c r="Z77" i="27" s="1"/>
  <c r="L77" i="27"/>
  <c r="N77" i="27" s="1"/>
  <c r="B77" i="27"/>
  <c r="Z76" i="27"/>
  <c r="X76" i="27"/>
  <c r="V76" i="27"/>
  <c r="N76" i="27"/>
  <c r="L76" i="27"/>
  <c r="J76" i="27"/>
  <c r="B76" i="27"/>
  <c r="Z75" i="27"/>
  <c r="X75" i="27"/>
  <c r="N75" i="27"/>
  <c r="L75" i="27"/>
  <c r="B75" i="27"/>
  <c r="Z74" i="27"/>
  <c r="X74" i="27"/>
  <c r="N74" i="27"/>
  <c r="L74" i="27"/>
  <c r="J74" i="27"/>
  <c r="B74" i="27"/>
  <c r="X73" i="27"/>
  <c r="Z73" i="27" s="1"/>
  <c r="L73" i="27"/>
  <c r="N73" i="27" s="1"/>
  <c r="B73" i="27"/>
  <c r="Z72" i="27"/>
  <c r="X72" i="27"/>
  <c r="V72" i="27"/>
  <c r="N72" i="27"/>
  <c r="L72" i="27"/>
  <c r="J72" i="27"/>
  <c r="B72" i="27"/>
  <c r="Z71" i="27"/>
  <c r="X71" i="27"/>
  <c r="L71" i="27"/>
  <c r="N71" i="27" s="1"/>
  <c r="B71" i="27"/>
  <c r="Z70" i="27"/>
  <c r="X70" i="27"/>
  <c r="N70" i="27"/>
  <c r="L70" i="27"/>
  <c r="J70" i="27"/>
  <c r="B70" i="27"/>
  <c r="T69" i="27"/>
  <c r="Z69" i="27" s="1"/>
  <c r="P69" i="27"/>
  <c r="X69" i="27" s="1"/>
  <c r="H69" i="27"/>
  <c r="D69" i="27"/>
  <c r="L69" i="27" s="1"/>
  <c r="B69" i="27"/>
  <c r="Z68" i="27"/>
  <c r="X68" i="27"/>
  <c r="L68" i="27"/>
  <c r="N68" i="27" s="1"/>
  <c r="B68" i="27"/>
  <c r="X67" i="27"/>
  <c r="Z67" i="27" s="1"/>
  <c r="L67" i="27"/>
  <c r="N67" i="27" s="1"/>
  <c r="B67" i="27"/>
  <c r="Z66" i="27"/>
  <c r="X66" i="27"/>
  <c r="V66" i="27"/>
  <c r="N66" i="27"/>
  <c r="L66" i="27"/>
  <c r="B66" i="27"/>
  <c r="Z65" i="27"/>
  <c r="X65" i="27"/>
  <c r="N65" i="27"/>
  <c r="L65" i="27"/>
  <c r="B65" i="27"/>
  <c r="Z64" i="27"/>
  <c r="X64" i="27"/>
  <c r="N64" i="27"/>
  <c r="L64" i="27"/>
  <c r="B64" i="27"/>
  <c r="X63" i="27"/>
  <c r="Z63" i="27" s="1"/>
  <c r="L63" i="27"/>
  <c r="N63" i="27" s="1"/>
  <c r="B63" i="27"/>
  <c r="Z62" i="27"/>
  <c r="X62" i="27"/>
  <c r="V62" i="27"/>
  <c r="N62" i="27"/>
  <c r="L62" i="27"/>
  <c r="B62" i="27"/>
  <c r="X61" i="27"/>
  <c r="Z61" i="27" s="1"/>
  <c r="L61" i="27"/>
  <c r="N61" i="27" s="1"/>
  <c r="J61" i="27"/>
  <c r="B61" i="27"/>
  <c r="Z60" i="27"/>
  <c r="X60" i="27"/>
  <c r="L60" i="27"/>
  <c r="N60" i="27" s="1"/>
  <c r="B60" i="27"/>
  <c r="X59" i="27"/>
  <c r="Z59" i="27" s="1"/>
  <c r="L59" i="27"/>
  <c r="N59" i="27" s="1"/>
  <c r="B59" i="27"/>
  <c r="V58" i="27"/>
  <c r="T58" i="27"/>
  <c r="Z58" i="27" s="1"/>
  <c r="P58" i="27"/>
  <c r="X58" i="27" s="1"/>
  <c r="J58" i="27"/>
  <c r="H58" i="27"/>
  <c r="D58" i="27"/>
  <c r="L58" i="27" s="1"/>
  <c r="N58" i="27" s="1"/>
  <c r="B58" i="27"/>
  <c r="T57" i="27"/>
  <c r="P57" i="27"/>
  <c r="L57" i="27"/>
  <c r="H57" i="27"/>
  <c r="N57" i="27" s="1"/>
  <c r="D57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N51" i="27"/>
  <c r="L51" i="27"/>
  <c r="B51" i="27"/>
  <c r="Z50" i="27"/>
  <c r="X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N47" i="27"/>
  <c r="L47" i="27"/>
  <c r="B47" i="27"/>
  <c r="Z46" i="27"/>
  <c r="X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J44" i="27"/>
  <c r="B44" i="27"/>
  <c r="Z43" i="27"/>
  <c r="X43" i="27"/>
  <c r="N43" i="27"/>
  <c r="L43" i="27"/>
  <c r="B43" i="27"/>
  <c r="Z42" i="27"/>
  <c r="X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J40" i="27"/>
  <c r="B40" i="27"/>
  <c r="Z39" i="27"/>
  <c r="X39" i="27"/>
  <c r="N39" i="27"/>
  <c r="L39" i="27"/>
  <c r="B39" i="27"/>
  <c r="Z38" i="27"/>
  <c r="X38" i="27"/>
  <c r="N38" i="27"/>
  <c r="L38" i="27"/>
  <c r="B38" i="27"/>
  <c r="T37" i="27"/>
  <c r="P37" i="27"/>
  <c r="L37" i="27"/>
  <c r="H37" i="27"/>
  <c r="N37" i="27" s="1"/>
  <c r="D37" i="27"/>
  <c r="Z35" i="27"/>
  <c r="X35" i="27"/>
  <c r="P35" i="27"/>
  <c r="N35" i="27"/>
  <c r="D35" i="27"/>
  <c r="L35" i="27" s="1"/>
  <c r="B35" i="27"/>
  <c r="Z34" i="27"/>
  <c r="P34" i="27"/>
  <c r="X34" i="27" s="1"/>
  <c r="N34" i="27"/>
  <c r="L34" i="27"/>
  <c r="D34" i="27"/>
  <c r="B34" i="27"/>
  <c r="Z33" i="27"/>
  <c r="X33" i="27"/>
  <c r="P33" i="27"/>
  <c r="N33" i="27"/>
  <c r="D33" i="27"/>
  <c r="L33" i="27" s="1"/>
  <c r="B33" i="27"/>
  <c r="Z32" i="27"/>
  <c r="X32" i="27"/>
  <c r="P32" i="27"/>
  <c r="N32" i="27"/>
  <c r="L32" i="27"/>
  <c r="D32" i="27"/>
  <c r="B32" i="27"/>
  <c r="Z31" i="27"/>
  <c r="X31" i="27"/>
  <c r="P31" i="27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X29" i="27"/>
  <c r="P29" i="27"/>
  <c r="N29" i="27"/>
  <c r="L29" i="27"/>
  <c r="D29" i="27"/>
  <c r="B29" i="27"/>
  <c r="Z28" i="27"/>
  <c r="P28" i="27"/>
  <c r="X28" i="27" s="1"/>
  <c r="N28" i="27"/>
  <c r="L28" i="27"/>
  <c r="D28" i="27"/>
  <c r="B28" i="27"/>
  <c r="Z27" i="27"/>
  <c r="P27" i="27"/>
  <c r="X27" i="27" s="1"/>
  <c r="N27" i="27"/>
  <c r="D27" i="27"/>
  <c r="L27" i="27" s="1"/>
  <c r="B27" i="27"/>
  <c r="Z26" i="27"/>
  <c r="P26" i="27"/>
  <c r="X26" i="27" s="1"/>
  <c r="N26" i="27"/>
  <c r="L26" i="27"/>
  <c r="D26" i="27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D24" i="27"/>
  <c r="L24" i="27" s="1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D21" i="27"/>
  <c r="L21" i="27" s="1"/>
  <c r="B21" i="27"/>
  <c r="Z20" i="27"/>
  <c r="X20" i="27"/>
  <c r="P20" i="27"/>
  <c r="N20" i="27"/>
  <c r="L20" i="27"/>
  <c r="D20" i="27"/>
  <c r="B20" i="27"/>
  <c r="Z19" i="27"/>
  <c r="X19" i="27"/>
  <c r="P19" i="27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X17" i="27"/>
  <c r="P17" i="27"/>
  <c r="N17" i="27"/>
  <c r="L17" i="27"/>
  <c r="D17" i="27"/>
  <c r="B17" i="27"/>
  <c r="Z16" i="27"/>
  <c r="P16" i="27"/>
  <c r="X16" i="27" s="1"/>
  <c r="N16" i="27"/>
  <c r="L16" i="27"/>
  <c r="D16" i="27"/>
  <c r="B16" i="27"/>
  <c r="Z15" i="27"/>
  <c r="P15" i="27"/>
  <c r="X15" i="27" s="1"/>
  <c r="N15" i="27"/>
  <c r="D15" i="27"/>
  <c r="L15" i="27" s="1"/>
  <c r="B15" i="27"/>
  <c r="Z14" i="27"/>
  <c r="P14" i="27"/>
  <c r="X14" i="27" s="1"/>
  <c r="N14" i="27"/>
  <c r="L14" i="27"/>
  <c r="D14" i="27"/>
  <c r="B14" i="27"/>
  <c r="Z13" i="27"/>
  <c r="X13" i="27"/>
  <c r="P13" i="27"/>
  <c r="D13" i="27"/>
  <c r="B13" i="27"/>
  <c r="T12" i="27"/>
  <c r="V117" i="27" s="1"/>
  <c r="H12" i="27"/>
  <c r="J111" i="27" s="1"/>
  <c r="D4" i="27"/>
  <c r="X98" i="24"/>
  <c r="Z98" i="24" s="1"/>
  <c r="L98" i="24"/>
  <c r="N98" i="24" s="1"/>
  <c r="J98" i="24"/>
  <c r="X94" i="24"/>
  <c r="T94" i="24"/>
  <c r="Z94" i="24" s="1"/>
  <c r="P94" i="24"/>
  <c r="L94" i="24"/>
  <c r="H94" i="24"/>
  <c r="N94" i="24" s="1"/>
  <c r="D94" i="24"/>
  <c r="X92" i="24"/>
  <c r="Z92" i="24" s="1"/>
  <c r="N92" i="24"/>
  <c r="L92" i="24"/>
  <c r="B92" i="24"/>
  <c r="X91" i="24"/>
  <c r="Z91" i="24" s="1"/>
  <c r="T91" i="24"/>
  <c r="P91" i="24"/>
  <c r="N91" i="24"/>
  <c r="H91" i="24"/>
  <c r="D91" i="24"/>
  <c r="L91" i="24" s="1"/>
  <c r="B91" i="24"/>
  <c r="Z90" i="24"/>
  <c r="X90" i="24"/>
  <c r="N90" i="24"/>
  <c r="L90" i="24"/>
  <c r="B90" i="24"/>
  <c r="Z89" i="24"/>
  <c r="X89" i="24"/>
  <c r="N89" i="24"/>
  <c r="L89" i="24"/>
  <c r="J89" i="24"/>
  <c r="B89" i="24"/>
  <c r="T88" i="24"/>
  <c r="Z88" i="24" s="1"/>
  <c r="P88" i="24"/>
  <c r="X88" i="24" s="1"/>
  <c r="H88" i="24"/>
  <c r="D88" i="24"/>
  <c r="B88" i="24"/>
  <c r="Z87" i="24"/>
  <c r="X87" i="24"/>
  <c r="V87" i="24"/>
  <c r="N87" i="24"/>
  <c r="L87" i="24"/>
  <c r="B87" i="24"/>
  <c r="X86" i="24"/>
  <c r="Z86" i="24" s="1"/>
  <c r="L86" i="24"/>
  <c r="N86" i="24" s="1"/>
  <c r="B86" i="24"/>
  <c r="Z85" i="24"/>
  <c r="X85" i="24"/>
  <c r="V85" i="24"/>
  <c r="N85" i="24"/>
  <c r="L85" i="24"/>
  <c r="B85" i="24"/>
  <c r="X84" i="24"/>
  <c r="Z84" i="24" s="1"/>
  <c r="V84" i="24"/>
  <c r="L84" i="24"/>
  <c r="N84" i="24" s="1"/>
  <c r="B84" i="24"/>
  <c r="V83" i="24"/>
  <c r="T83" i="24"/>
  <c r="P83" i="24"/>
  <c r="X83" i="24" s="1"/>
  <c r="Z83" i="24" s="1"/>
  <c r="J83" i="24"/>
  <c r="H83" i="24"/>
  <c r="N83" i="24" s="1"/>
  <c r="D83" i="24"/>
  <c r="L83" i="24" s="1"/>
  <c r="B83" i="24"/>
  <c r="X82" i="24"/>
  <c r="Z82" i="24" s="1"/>
  <c r="N82" i="24"/>
  <c r="L82" i="24"/>
  <c r="B82" i="24"/>
  <c r="Z81" i="24"/>
  <c r="X81" i="24"/>
  <c r="N81" i="24"/>
  <c r="L81" i="24"/>
  <c r="B81" i="24"/>
  <c r="T80" i="24"/>
  <c r="P80" i="24"/>
  <c r="L80" i="24"/>
  <c r="H80" i="24"/>
  <c r="N80" i="24" s="1"/>
  <c r="D80" i="24"/>
  <c r="B80" i="24"/>
  <c r="Z79" i="24"/>
  <c r="X79" i="24"/>
  <c r="V79" i="24"/>
  <c r="N79" i="24"/>
  <c r="L79" i="24"/>
  <c r="J79" i="24"/>
  <c r="B79" i="24"/>
  <c r="Z78" i="24"/>
  <c r="X78" i="24"/>
  <c r="N78" i="24"/>
  <c r="L78" i="24"/>
  <c r="B78" i="24"/>
  <c r="T77" i="24"/>
  <c r="P77" i="24"/>
  <c r="X77" i="24" s="1"/>
  <c r="Z77" i="24" s="1"/>
  <c r="N77" i="24"/>
  <c r="L77" i="24"/>
  <c r="J77" i="24"/>
  <c r="H77" i="24"/>
  <c r="D77" i="24"/>
  <c r="B77" i="24"/>
  <c r="X76" i="24"/>
  <c r="Z76" i="24" s="1"/>
  <c r="V76" i="24"/>
  <c r="N76" i="24"/>
  <c r="L76" i="24"/>
  <c r="B76" i="24"/>
  <c r="V75" i="24"/>
  <c r="T75" i="24"/>
  <c r="P75" i="24"/>
  <c r="X75" i="24" s="1"/>
  <c r="Z75" i="24" s="1"/>
  <c r="J75" i="24"/>
  <c r="H75" i="24"/>
  <c r="N75" i="24" s="1"/>
  <c r="D75" i="24"/>
  <c r="L75" i="24" s="1"/>
  <c r="B75" i="24"/>
  <c r="X74" i="24"/>
  <c r="Z74" i="24" s="1"/>
  <c r="N74" i="24"/>
  <c r="L74" i="24"/>
  <c r="B74" i="24"/>
  <c r="Z73" i="24"/>
  <c r="X73" i="24"/>
  <c r="T73" i="24"/>
  <c r="P73" i="24"/>
  <c r="N73" i="24"/>
  <c r="L73" i="24"/>
  <c r="H73" i="24"/>
  <c r="D73" i="24"/>
  <c r="B73" i="24"/>
  <c r="X72" i="24"/>
  <c r="Z72" i="24" s="1"/>
  <c r="L72" i="24"/>
  <c r="N72" i="24" s="1"/>
  <c r="J72" i="24"/>
  <c r="B72" i="24"/>
  <c r="Z71" i="24"/>
  <c r="X71" i="24"/>
  <c r="V71" i="24"/>
  <c r="T71" i="24"/>
  <c r="P71" i="24"/>
  <c r="H71" i="24"/>
  <c r="D71" i="24"/>
  <c r="L71" i="24" s="1"/>
  <c r="N71" i="24" s="1"/>
  <c r="B71" i="24"/>
  <c r="Z70" i="24"/>
  <c r="X70" i="24"/>
  <c r="N70" i="24"/>
  <c r="L70" i="24"/>
  <c r="B70" i="24"/>
  <c r="Z69" i="24"/>
  <c r="X69" i="24"/>
  <c r="V69" i="24"/>
  <c r="N69" i="24"/>
  <c r="L69" i="24"/>
  <c r="B69" i="24"/>
  <c r="V68" i="24"/>
  <c r="T68" i="24"/>
  <c r="P68" i="24"/>
  <c r="X68" i="24" s="1"/>
  <c r="L68" i="24"/>
  <c r="N68" i="24" s="1"/>
  <c r="H68" i="24"/>
  <c r="D68" i="24"/>
  <c r="B68" i="24"/>
  <c r="X67" i="24"/>
  <c r="Z67" i="24" s="1"/>
  <c r="N67" i="24"/>
  <c r="L67" i="24"/>
  <c r="J67" i="24"/>
  <c r="B67" i="24"/>
  <c r="X66" i="24"/>
  <c r="T66" i="24"/>
  <c r="Z66" i="24" s="1"/>
  <c r="P66" i="24"/>
  <c r="H66" i="24"/>
  <c r="D66" i="24"/>
  <c r="B66" i="24"/>
  <c r="Z65" i="24"/>
  <c r="X65" i="24"/>
  <c r="N65" i="24"/>
  <c r="L65" i="24"/>
  <c r="J65" i="24"/>
  <c r="B65" i="24"/>
  <c r="T64" i="24"/>
  <c r="Z64" i="24" s="1"/>
  <c r="P64" i="24"/>
  <c r="X64" i="24" s="1"/>
  <c r="H64" i="24"/>
  <c r="N64" i="24" s="1"/>
  <c r="D64" i="24"/>
  <c r="L64" i="24" s="1"/>
  <c r="B64" i="24"/>
  <c r="Z63" i="24"/>
  <c r="X63" i="24"/>
  <c r="V63" i="24"/>
  <c r="L63" i="24"/>
  <c r="N63" i="24" s="1"/>
  <c r="B63" i="24"/>
  <c r="X62" i="24"/>
  <c r="Z62" i="24" s="1"/>
  <c r="T62" i="24"/>
  <c r="P62" i="24"/>
  <c r="J62" i="24"/>
  <c r="H62" i="24"/>
  <c r="D62" i="24"/>
  <c r="L62" i="24" s="1"/>
  <c r="B62" i="24"/>
  <c r="Z61" i="24"/>
  <c r="X61" i="24"/>
  <c r="N61" i="24"/>
  <c r="L61" i="24"/>
  <c r="B61" i="24"/>
  <c r="Z60" i="24"/>
  <c r="X60" i="24"/>
  <c r="V60" i="24"/>
  <c r="N60" i="24"/>
  <c r="L60" i="24"/>
  <c r="B60" i="24"/>
  <c r="X59" i="24"/>
  <c r="Z59" i="24" s="1"/>
  <c r="N59" i="24"/>
  <c r="L59" i="24"/>
  <c r="J59" i="24"/>
  <c r="B59" i="24"/>
  <c r="Z58" i="24"/>
  <c r="X58" i="24"/>
  <c r="N58" i="24"/>
  <c r="L58" i="24"/>
  <c r="B58" i="24"/>
  <c r="Z57" i="24"/>
  <c r="X57" i="24"/>
  <c r="N57" i="24"/>
  <c r="L57" i="24"/>
  <c r="B57" i="24"/>
  <c r="X56" i="24"/>
  <c r="Z56" i="24" s="1"/>
  <c r="V56" i="24"/>
  <c r="L56" i="24"/>
  <c r="N56" i="24" s="1"/>
  <c r="B56" i="24"/>
  <c r="X55" i="24"/>
  <c r="Z55" i="24" s="1"/>
  <c r="N55" i="24"/>
  <c r="L55" i="24"/>
  <c r="J55" i="24"/>
  <c r="B55" i="24"/>
  <c r="Z54" i="24"/>
  <c r="X54" i="24"/>
  <c r="N54" i="24"/>
  <c r="L54" i="24"/>
  <c r="B54" i="24"/>
  <c r="Z53" i="24"/>
  <c r="X53" i="24"/>
  <c r="N53" i="24"/>
  <c r="L53" i="24"/>
  <c r="B53" i="24"/>
  <c r="X52" i="24"/>
  <c r="Z52" i="24" s="1"/>
  <c r="V52" i="24"/>
  <c r="L52" i="24"/>
  <c r="N52" i="24" s="1"/>
  <c r="B52" i="24"/>
  <c r="X51" i="24"/>
  <c r="Z51" i="24" s="1"/>
  <c r="T51" i="24"/>
  <c r="P51" i="24"/>
  <c r="H51" i="24"/>
  <c r="D51" i="24"/>
  <c r="L51" i="24" s="1"/>
  <c r="N51" i="24" s="1"/>
  <c r="B51" i="24"/>
  <c r="Z50" i="24"/>
  <c r="X50" i="24"/>
  <c r="L50" i="24"/>
  <c r="N50" i="24" s="1"/>
  <c r="B50" i="24"/>
  <c r="Z49" i="24"/>
  <c r="X49" i="24"/>
  <c r="N49" i="24"/>
  <c r="L49" i="24"/>
  <c r="J49" i="24"/>
  <c r="B49" i="24"/>
  <c r="Z48" i="24"/>
  <c r="X48" i="24"/>
  <c r="N48" i="24"/>
  <c r="L48" i="24"/>
  <c r="J48" i="24"/>
  <c r="B48" i="24"/>
  <c r="Z47" i="24"/>
  <c r="X47" i="24"/>
  <c r="V47" i="24"/>
  <c r="N47" i="24"/>
  <c r="L47" i="24"/>
  <c r="J47" i="24"/>
  <c r="B47" i="24"/>
  <c r="Z46" i="24"/>
  <c r="X46" i="24"/>
  <c r="L46" i="24"/>
  <c r="N46" i="24" s="1"/>
  <c r="B46" i="24"/>
  <c r="Z45" i="24"/>
  <c r="X45" i="24"/>
  <c r="N45" i="24"/>
  <c r="L45" i="24"/>
  <c r="J45" i="24"/>
  <c r="B45" i="24"/>
  <c r="X44" i="24"/>
  <c r="Z44" i="24" s="1"/>
  <c r="L44" i="24"/>
  <c r="N44" i="24" s="1"/>
  <c r="J44" i="24"/>
  <c r="B44" i="24"/>
  <c r="Z43" i="24"/>
  <c r="X43" i="24"/>
  <c r="V43" i="24"/>
  <c r="N43" i="24"/>
  <c r="L43" i="24"/>
  <c r="J43" i="24"/>
  <c r="B43" i="24"/>
  <c r="Z42" i="24"/>
  <c r="X42" i="24"/>
  <c r="L42" i="24"/>
  <c r="N42" i="24" s="1"/>
  <c r="B42" i="24"/>
  <c r="T41" i="24"/>
  <c r="P41" i="24"/>
  <c r="X41" i="24" s="1"/>
  <c r="Z41" i="24" s="1"/>
  <c r="N41" i="24"/>
  <c r="L41" i="24"/>
  <c r="J41" i="24"/>
  <c r="H41" i="24"/>
  <c r="D41" i="24"/>
  <c r="B41" i="24"/>
  <c r="V40" i="24"/>
  <c r="T40" i="24"/>
  <c r="P40" i="24"/>
  <c r="X40" i="24" s="1"/>
  <c r="L40" i="24"/>
  <c r="N40" i="24" s="1"/>
  <c r="H40" i="24"/>
  <c r="D40" i="24"/>
  <c r="Z36" i="24"/>
  <c r="X36" i="24"/>
  <c r="V36" i="24"/>
  <c r="N36" i="24"/>
  <c r="L36" i="24"/>
  <c r="J36" i="24"/>
  <c r="B36" i="24"/>
  <c r="Z35" i="24"/>
  <c r="X35" i="24"/>
  <c r="V35" i="24"/>
  <c r="N35" i="24"/>
  <c r="L35" i="24"/>
  <c r="J35" i="24"/>
  <c r="B35" i="24"/>
  <c r="Z34" i="24"/>
  <c r="X34" i="24"/>
  <c r="N34" i="24"/>
  <c r="L34" i="24"/>
  <c r="B34" i="24"/>
  <c r="Z33" i="24"/>
  <c r="X33" i="24"/>
  <c r="V33" i="24"/>
  <c r="N33" i="24"/>
  <c r="L33" i="24"/>
  <c r="J33" i="24"/>
  <c r="B33" i="24"/>
  <c r="Z32" i="24"/>
  <c r="X32" i="24"/>
  <c r="V32" i="24"/>
  <c r="N32" i="24"/>
  <c r="L32" i="24"/>
  <c r="J32" i="24"/>
  <c r="B32" i="24"/>
  <c r="Z31" i="24"/>
  <c r="X31" i="24"/>
  <c r="V31" i="24"/>
  <c r="N31" i="24"/>
  <c r="L31" i="24"/>
  <c r="J31" i="24"/>
  <c r="B31" i="24"/>
  <c r="Z30" i="24"/>
  <c r="X30" i="24"/>
  <c r="N30" i="24"/>
  <c r="L30" i="24"/>
  <c r="B30" i="24"/>
  <c r="Z29" i="24"/>
  <c r="X29" i="24"/>
  <c r="V29" i="24"/>
  <c r="N29" i="24"/>
  <c r="L29" i="24"/>
  <c r="J29" i="24"/>
  <c r="B29" i="24"/>
  <c r="V28" i="24"/>
  <c r="T28" i="24"/>
  <c r="P28" i="24"/>
  <c r="X28" i="24" s="1"/>
  <c r="L28" i="24"/>
  <c r="N28" i="24" s="1"/>
  <c r="H28" i="24"/>
  <c r="D28" i="24"/>
  <c r="Z26" i="24"/>
  <c r="P26" i="24"/>
  <c r="X26" i="24" s="1"/>
  <c r="N26" i="24"/>
  <c r="D26" i="24"/>
  <c r="L26" i="24" s="1"/>
  <c r="B26" i="24"/>
  <c r="Z25" i="24"/>
  <c r="P25" i="24"/>
  <c r="X25" i="24" s="1"/>
  <c r="N25" i="24"/>
  <c r="L25" i="24"/>
  <c r="D25" i="24"/>
  <c r="B25" i="24"/>
  <c r="Z24" i="24"/>
  <c r="X24" i="24"/>
  <c r="P24" i="24"/>
  <c r="N24" i="24"/>
  <c r="D24" i="24"/>
  <c r="L24" i="24" s="1"/>
  <c r="B24" i="24"/>
  <c r="Z23" i="24"/>
  <c r="P23" i="24"/>
  <c r="X23" i="24" s="1"/>
  <c r="N23" i="24"/>
  <c r="D23" i="24"/>
  <c r="L23" i="24" s="1"/>
  <c r="B23" i="24"/>
  <c r="Z22" i="24"/>
  <c r="X22" i="24"/>
  <c r="P22" i="24"/>
  <c r="N22" i="24"/>
  <c r="D22" i="24"/>
  <c r="L22" i="24" s="1"/>
  <c r="B22" i="24"/>
  <c r="Z21" i="24"/>
  <c r="P21" i="24"/>
  <c r="X21" i="24" s="1"/>
  <c r="N21" i="24"/>
  <c r="L21" i="24"/>
  <c r="D21" i="24"/>
  <c r="B21" i="24"/>
  <c r="X20" i="24"/>
  <c r="Z20" i="24" s="1"/>
  <c r="P20" i="24"/>
  <c r="D20" i="24"/>
  <c r="L20" i="24" s="1"/>
  <c r="N20" i="24" s="1"/>
  <c r="B20" i="24"/>
  <c r="Z19" i="24"/>
  <c r="X19" i="24"/>
  <c r="P19" i="24"/>
  <c r="N19" i="24"/>
  <c r="L19" i="24"/>
  <c r="D19" i="24"/>
  <c r="B19" i="24"/>
  <c r="Z18" i="24"/>
  <c r="X18" i="24"/>
  <c r="P18" i="24"/>
  <c r="N18" i="24"/>
  <c r="D18" i="24"/>
  <c r="L18" i="24" s="1"/>
  <c r="B18" i="24"/>
  <c r="Z17" i="24"/>
  <c r="P17" i="24"/>
  <c r="N17" i="24"/>
  <c r="L17" i="24"/>
  <c r="D17" i="24"/>
  <c r="B17" i="24"/>
  <c r="Z16" i="24"/>
  <c r="X16" i="24"/>
  <c r="P16" i="24"/>
  <c r="N16" i="24"/>
  <c r="L16" i="24"/>
  <c r="D16" i="24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D14" i="24"/>
  <c r="B14" i="24"/>
  <c r="Z13" i="24"/>
  <c r="P13" i="24"/>
  <c r="X13" i="24" s="1"/>
  <c r="N13" i="24"/>
  <c r="L13" i="24"/>
  <c r="D13" i="24"/>
  <c r="B13" i="24"/>
  <c r="T12" i="24"/>
  <c r="V86" i="24" s="1"/>
  <c r="H12" i="24"/>
  <c r="J90" i="24" s="1"/>
  <c r="D4" i="24"/>
  <c r="X111" i="21"/>
  <c r="Z111" i="21" s="1"/>
  <c r="N111" i="21"/>
  <c r="L111" i="21"/>
  <c r="J111" i="21"/>
  <c r="T107" i="21"/>
  <c r="Z107" i="21" s="1"/>
  <c r="P107" i="21"/>
  <c r="X107" i="21" s="1"/>
  <c r="L107" i="21"/>
  <c r="J107" i="21"/>
  <c r="H107" i="21"/>
  <c r="N107" i="21" s="1"/>
  <c r="D107" i="21"/>
  <c r="X105" i="21"/>
  <c r="Z105" i="21" s="1"/>
  <c r="L105" i="21"/>
  <c r="N105" i="21" s="1"/>
  <c r="B105" i="21"/>
  <c r="X104" i="21"/>
  <c r="Z104" i="21" s="1"/>
  <c r="T104" i="21"/>
  <c r="P104" i="21"/>
  <c r="H104" i="21"/>
  <c r="D104" i="21"/>
  <c r="L104" i="21" s="1"/>
  <c r="B104" i="21"/>
  <c r="Z103" i="21"/>
  <c r="X103" i="21"/>
  <c r="N103" i="21"/>
  <c r="L103" i="21"/>
  <c r="B103" i="21"/>
  <c r="Z102" i="21"/>
  <c r="T102" i="21"/>
  <c r="X102" i="21" s="1"/>
  <c r="P102" i="21"/>
  <c r="L102" i="21"/>
  <c r="H102" i="21"/>
  <c r="N102" i="21" s="1"/>
  <c r="D102" i="21"/>
  <c r="B102" i="21"/>
  <c r="Z101" i="21"/>
  <c r="X101" i="21"/>
  <c r="N101" i="21"/>
  <c r="L101" i="21"/>
  <c r="J101" i="21"/>
  <c r="B101" i="21"/>
  <c r="T100" i="21"/>
  <c r="P100" i="21"/>
  <c r="X100" i="21" s="1"/>
  <c r="H100" i="21"/>
  <c r="N100" i="21" s="1"/>
  <c r="D100" i="21"/>
  <c r="L100" i="21" s="1"/>
  <c r="B100" i="21"/>
  <c r="X99" i="21"/>
  <c r="Z99" i="21" s="1"/>
  <c r="N99" i="21"/>
  <c r="L99" i="21"/>
  <c r="B99" i="21"/>
  <c r="X98" i="21"/>
  <c r="Z98" i="21" s="1"/>
  <c r="L98" i="21"/>
  <c r="N98" i="21" s="1"/>
  <c r="B98" i="21"/>
  <c r="T97" i="21"/>
  <c r="P97" i="21"/>
  <c r="X97" i="21" s="1"/>
  <c r="Z97" i="21" s="1"/>
  <c r="L97" i="21"/>
  <c r="J97" i="21"/>
  <c r="H97" i="21"/>
  <c r="D97" i="21"/>
  <c r="B97" i="21"/>
  <c r="X96" i="21"/>
  <c r="Z96" i="21" s="1"/>
  <c r="N96" i="21"/>
  <c r="L96" i="21"/>
  <c r="J96" i="21"/>
  <c r="B96" i="21"/>
  <c r="Z95" i="21"/>
  <c r="X95" i="21"/>
  <c r="N95" i="21"/>
  <c r="L95" i="21"/>
  <c r="B95" i="21"/>
  <c r="X94" i="21"/>
  <c r="Z94" i="21" s="1"/>
  <c r="N94" i="21"/>
  <c r="L94" i="21"/>
  <c r="B94" i="21"/>
  <c r="Z93" i="21"/>
  <c r="X93" i="21"/>
  <c r="N93" i="21"/>
  <c r="L93" i="21"/>
  <c r="J93" i="21"/>
  <c r="B93" i="21"/>
  <c r="X92" i="21"/>
  <c r="Z92" i="21" s="1"/>
  <c r="N92" i="21"/>
  <c r="L92" i="21"/>
  <c r="J92" i="21"/>
  <c r="B92" i="21"/>
  <c r="Z91" i="21"/>
  <c r="X91" i="21"/>
  <c r="N91" i="21"/>
  <c r="L91" i="21"/>
  <c r="B91" i="21"/>
  <c r="X90" i="21"/>
  <c r="Z90" i="21" s="1"/>
  <c r="N90" i="21"/>
  <c r="L90" i="21"/>
  <c r="B90" i="21"/>
  <c r="T89" i="21"/>
  <c r="P89" i="21"/>
  <c r="H89" i="21"/>
  <c r="D89" i="21"/>
  <c r="L89" i="21" s="1"/>
  <c r="N89" i="21" s="1"/>
  <c r="B89" i="21"/>
  <c r="Z88" i="21"/>
  <c r="X88" i="21"/>
  <c r="L88" i="21"/>
  <c r="N88" i="21" s="1"/>
  <c r="B88" i="21"/>
  <c r="T87" i="21"/>
  <c r="P87" i="21"/>
  <c r="X87" i="21" s="1"/>
  <c r="Z87" i="21" s="1"/>
  <c r="N87" i="21"/>
  <c r="L87" i="21"/>
  <c r="J87" i="21"/>
  <c r="H87" i="21"/>
  <c r="D87" i="21"/>
  <c r="B87" i="21"/>
  <c r="Z86" i="21"/>
  <c r="X86" i="21"/>
  <c r="N86" i="21"/>
  <c r="L86" i="21"/>
  <c r="B86" i="21"/>
  <c r="X85" i="21"/>
  <c r="Z85" i="21" s="1"/>
  <c r="L85" i="21"/>
  <c r="N85" i="21" s="1"/>
  <c r="B85" i="21"/>
  <c r="X84" i="21"/>
  <c r="Z84" i="21" s="1"/>
  <c r="L84" i="21"/>
  <c r="N84" i="21" s="1"/>
  <c r="B84" i="21"/>
  <c r="X83" i="21"/>
  <c r="Z83" i="21" s="1"/>
  <c r="N83" i="21"/>
  <c r="L83" i="21"/>
  <c r="B83" i="21"/>
  <c r="T82" i="21"/>
  <c r="Z82" i="21" s="1"/>
  <c r="P82" i="21"/>
  <c r="X82" i="21" s="1"/>
  <c r="H82" i="21"/>
  <c r="D82" i="21"/>
  <c r="L82" i="21" s="1"/>
  <c r="N82" i="21" s="1"/>
  <c r="B82" i="21"/>
  <c r="X81" i="21"/>
  <c r="Z81" i="21" s="1"/>
  <c r="N81" i="21"/>
  <c r="L81" i="21"/>
  <c r="J81" i="21"/>
  <c r="B81" i="21"/>
  <c r="Z80" i="21"/>
  <c r="X80" i="21"/>
  <c r="N80" i="21"/>
  <c r="L80" i="21"/>
  <c r="J80" i="21"/>
  <c r="B80" i="21"/>
  <c r="T79" i="21"/>
  <c r="P79" i="21"/>
  <c r="X79" i="21" s="1"/>
  <c r="Z79" i="21" s="1"/>
  <c r="H79" i="21"/>
  <c r="D79" i="21"/>
  <c r="B79" i="21"/>
  <c r="X78" i="21"/>
  <c r="Z78" i="21" s="1"/>
  <c r="N78" i="21"/>
  <c r="L78" i="21"/>
  <c r="J78" i="21"/>
  <c r="B78" i="21"/>
  <c r="Z77" i="21"/>
  <c r="X77" i="21"/>
  <c r="N77" i="21"/>
  <c r="L77" i="21"/>
  <c r="J77" i="21"/>
  <c r="B77" i="21"/>
  <c r="Z76" i="21"/>
  <c r="X76" i="21"/>
  <c r="N76" i="21"/>
  <c r="L76" i="21"/>
  <c r="B76" i="21"/>
  <c r="Z75" i="21"/>
  <c r="X75" i="21"/>
  <c r="N75" i="21"/>
  <c r="L75" i="21"/>
  <c r="J75" i="21"/>
  <c r="B75" i="21"/>
  <c r="T74" i="21"/>
  <c r="P74" i="21"/>
  <c r="X74" i="21" s="1"/>
  <c r="H74" i="21"/>
  <c r="D74" i="21"/>
  <c r="B74" i="21"/>
  <c r="Z73" i="21"/>
  <c r="X73" i="21"/>
  <c r="N73" i="21"/>
  <c r="L73" i="21"/>
  <c r="B73" i="21"/>
  <c r="Z72" i="21"/>
  <c r="T72" i="21"/>
  <c r="P72" i="21"/>
  <c r="X72" i="21" s="1"/>
  <c r="N72" i="21"/>
  <c r="J72" i="21"/>
  <c r="H72" i="21"/>
  <c r="D72" i="21"/>
  <c r="L72" i="21" s="1"/>
  <c r="B72" i="21"/>
  <c r="Z71" i="21"/>
  <c r="X71" i="21"/>
  <c r="N71" i="21"/>
  <c r="L71" i="21"/>
  <c r="B71" i="21"/>
  <c r="T70" i="21"/>
  <c r="P70" i="21"/>
  <c r="L70" i="21"/>
  <c r="N70" i="21" s="1"/>
  <c r="H70" i="21"/>
  <c r="D70" i="21"/>
  <c r="B70" i="21"/>
  <c r="Z69" i="21"/>
  <c r="X69" i="21"/>
  <c r="L69" i="21"/>
  <c r="N69" i="21" s="1"/>
  <c r="J69" i="21"/>
  <c r="B69" i="21"/>
  <c r="T68" i="21"/>
  <c r="P68" i="21"/>
  <c r="X68" i="21" s="1"/>
  <c r="H68" i="21"/>
  <c r="D68" i="21"/>
  <c r="L68" i="21" s="1"/>
  <c r="B68" i="21"/>
  <c r="X67" i="21"/>
  <c r="Z67" i="21" s="1"/>
  <c r="N67" i="21"/>
  <c r="L67" i="21"/>
  <c r="B67" i="21"/>
  <c r="T66" i="21"/>
  <c r="Z66" i="21" s="1"/>
  <c r="P66" i="21"/>
  <c r="X66" i="21" s="1"/>
  <c r="N66" i="21"/>
  <c r="H66" i="21"/>
  <c r="D66" i="21"/>
  <c r="L66" i="21" s="1"/>
  <c r="B66" i="21"/>
  <c r="Z65" i="21"/>
  <c r="X65" i="21"/>
  <c r="N65" i="21"/>
  <c r="L65" i="21"/>
  <c r="J65" i="21"/>
  <c r="B65" i="21"/>
  <c r="Z64" i="21"/>
  <c r="X64" i="21"/>
  <c r="T64" i="21"/>
  <c r="P64" i="21"/>
  <c r="N64" i="21"/>
  <c r="L64" i="21"/>
  <c r="H64" i="21"/>
  <c r="D64" i="21"/>
  <c r="B64" i="21"/>
  <c r="Z63" i="21"/>
  <c r="X63" i="21"/>
  <c r="L63" i="21"/>
  <c r="N63" i="21" s="1"/>
  <c r="J63" i="21"/>
  <c r="B63" i="21"/>
  <c r="T62" i="21"/>
  <c r="P62" i="21"/>
  <c r="H62" i="21"/>
  <c r="D62" i="21"/>
  <c r="B62" i="21"/>
  <c r="X61" i="21"/>
  <c r="Z61" i="21" s="1"/>
  <c r="N61" i="21"/>
  <c r="L61" i="21"/>
  <c r="B61" i="21"/>
  <c r="X60" i="21"/>
  <c r="Z60" i="21" s="1"/>
  <c r="T60" i="21"/>
  <c r="P60" i="21"/>
  <c r="J60" i="21"/>
  <c r="H60" i="21"/>
  <c r="N60" i="21" s="1"/>
  <c r="D60" i="21"/>
  <c r="L60" i="21" s="1"/>
  <c r="B60" i="21"/>
  <c r="Z59" i="21"/>
  <c r="X59" i="21"/>
  <c r="N59" i="21"/>
  <c r="L59" i="21"/>
  <c r="B59" i="21"/>
  <c r="Z58" i="21"/>
  <c r="X58" i="21"/>
  <c r="N58" i="21"/>
  <c r="L58" i="21"/>
  <c r="B58" i="21"/>
  <c r="T57" i="21"/>
  <c r="P57" i="21"/>
  <c r="N57" i="21"/>
  <c r="H57" i="21"/>
  <c r="D57" i="21"/>
  <c r="L57" i="21" s="1"/>
  <c r="B57" i="21"/>
  <c r="Z56" i="21"/>
  <c r="X56" i="21"/>
  <c r="L56" i="21"/>
  <c r="N56" i="21" s="1"/>
  <c r="B56" i="21"/>
  <c r="T55" i="21"/>
  <c r="P55" i="21"/>
  <c r="N55" i="21"/>
  <c r="L55" i="21"/>
  <c r="J55" i="21"/>
  <c r="H55" i="21"/>
  <c r="D55" i="21"/>
  <c r="B55" i="21"/>
  <c r="X54" i="21"/>
  <c r="Z54" i="21" s="1"/>
  <c r="L54" i="21"/>
  <c r="N54" i="21" s="1"/>
  <c r="B54" i="21"/>
  <c r="T53" i="21"/>
  <c r="P53" i="21"/>
  <c r="X53" i="21" s="1"/>
  <c r="L53" i="21"/>
  <c r="J53" i="21"/>
  <c r="H53" i="21"/>
  <c r="N53" i="21" s="1"/>
  <c r="D53" i="21"/>
  <c r="B53" i="21"/>
  <c r="X52" i="21"/>
  <c r="Z52" i="21" s="1"/>
  <c r="N52" i="21"/>
  <c r="L52" i="21"/>
  <c r="J52" i="21"/>
  <c r="B52" i="21"/>
  <c r="Z51" i="21"/>
  <c r="T51" i="21"/>
  <c r="P51" i="21"/>
  <c r="X51" i="21" s="1"/>
  <c r="H51" i="21"/>
  <c r="D51" i="21"/>
  <c r="B51" i="21"/>
  <c r="Z50" i="21"/>
  <c r="X50" i="21"/>
  <c r="N50" i="21"/>
  <c r="L50" i="21"/>
  <c r="J50" i="21"/>
  <c r="B50" i="21"/>
  <c r="Z49" i="21"/>
  <c r="X49" i="21"/>
  <c r="N49" i="21"/>
  <c r="L49" i="21"/>
  <c r="J49" i="21"/>
  <c r="B49" i="21"/>
  <c r="Z48" i="21"/>
  <c r="X48" i="21"/>
  <c r="L48" i="21"/>
  <c r="N48" i="21" s="1"/>
  <c r="B48" i="21"/>
  <c r="Z47" i="21"/>
  <c r="X47" i="21"/>
  <c r="N47" i="21"/>
  <c r="L47" i="21"/>
  <c r="J47" i="21"/>
  <c r="B47" i="21"/>
  <c r="Z46" i="21"/>
  <c r="X46" i="21"/>
  <c r="N46" i="21"/>
  <c r="L46" i="21"/>
  <c r="J46" i="21"/>
  <c r="B46" i="21"/>
  <c r="Z45" i="21"/>
  <c r="X45" i="21"/>
  <c r="L45" i="21"/>
  <c r="N45" i="21" s="1"/>
  <c r="J45" i="21"/>
  <c r="B45" i="21"/>
  <c r="Z44" i="21"/>
  <c r="X44" i="21"/>
  <c r="L44" i="21"/>
  <c r="N44" i="21" s="1"/>
  <c r="B44" i="21"/>
  <c r="Z43" i="21"/>
  <c r="X43" i="21"/>
  <c r="N43" i="21"/>
  <c r="L43" i="21"/>
  <c r="J43" i="21"/>
  <c r="B43" i="21"/>
  <c r="Z42" i="21"/>
  <c r="X42" i="21"/>
  <c r="L42" i="21"/>
  <c r="N42" i="21" s="1"/>
  <c r="J42" i="21"/>
  <c r="B42" i="21"/>
  <c r="Z41" i="21"/>
  <c r="X41" i="21"/>
  <c r="L41" i="21"/>
  <c r="N41" i="21" s="1"/>
  <c r="J41" i="21"/>
  <c r="B41" i="21"/>
  <c r="Z40" i="21"/>
  <c r="T40" i="21"/>
  <c r="P40" i="21"/>
  <c r="X40" i="21" s="1"/>
  <c r="H40" i="21"/>
  <c r="D40" i="21"/>
  <c r="L40" i="21" s="1"/>
  <c r="B40" i="21"/>
  <c r="X39" i="21"/>
  <c r="Z39" i="21" s="1"/>
  <c r="N39" i="21"/>
  <c r="L39" i="21"/>
  <c r="B39" i="21"/>
  <c r="X38" i="21"/>
  <c r="Z38" i="21" s="1"/>
  <c r="L38" i="21"/>
  <c r="N38" i="21" s="1"/>
  <c r="B38" i="21"/>
  <c r="X37" i="21"/>
  <c r="Z37" i="21" s="1"/>
  <c r="L37" i="21"/>
  <c r="N37" i="21" s="1"/>
  <c r="B37" i="21"/>
  <c r="Z36" i="21"/>
  <c r="X36" i="21"/>
  <c r="N36" i="21"/>
  <c r="L36" i="21"/>
  <c r="B36" i="21"/>
  <c r="X35" i="21"/>
  <c r="Z35" i="21" s="1"/>
  <c r="N35" i="21"/>
  <c r="L35" i="21"/>
  <c r="B35" i="21"/>
  <c r="X34" i="21"/>
  <c r="Z34" i="21" s="1"/>
  <c r="L34" i="21"/>
  <c r="N34" i="21" s="1"/>
  <c r="B34" i="21"/>
  <c r="X33" i="21"/>
  <c r="Z33" i="21" s="1"/>
  <c r="L33" i="21"/>
  <c r="N33" i="21" s="1"/>
  <c r="B33" i="21"/>
  <c r="X32" i="21"/>
  <c r="Z32" i="21" s="1"/>
  <c r="L32" i="21"/>
  <c r="N32" i="21" s="1"/>
  <c r="B32" i="21"/>
  <c r="X31" i="21"/>
  <c r="Z31" i="21" s="1"/>
  <c r="N31" i="21"/>
  <c r="L31" i="21"/>
  <c r="B31" i="21"/>
  <c r="T30" i="21"/>
  <c r="P30" i="21"/>
  <c r="X30" i="21" s="1"/>
  <c r="H30" i="21"/>
  <c r="D30" i="21"/>
  <c r="L30" i="21" s="1"/>
  <c r="N30" i="21" s="1"/>
  <c r="B30" i="21"/>
  <c r="X29" i="21"/>
  <c r="T29" i="21"/>
  <c r="P29" i="21"/>
  <c r="N29" i="21"/>
  <c r="H29" i="21"/>
  <c r="D29" i="21"/>
  <c r="L29" i="21" s="1"/>
  <c r="Z25" i="21"/>
  <c r="X25" i="21"/>
  <c r="N25" i="21"/>
  <c r="L25" i="21"/>
  <c r="J25" i="21"/>
  <c r="B25" i="21"/>
  <c r="Z24" i="21"/>
  <c r="X24" i="21"/>
  <c r="N24" i="21"/>
  <c r="L24" i="21"/>
  <c r="J24" i="21"/>
  <c r="B24" i="21"/>
  <c r="Z23" i="21"/>
  <c r="X23" i="21"/>
  <c r="N23" i="21"/>
  <c r="L23" i="21"/>
  <c r="B23" i="21"/>
  <c r="T22" i="21"/>
  <c r="P22" i="21"/>
  <c r="L22" i="21"/>
  <c r="N22" i="21" s="1"/>
  <c r="H22" i="21"/>
  <c r="D22" i="21"/>
  <c r="Z20" i="21"/>
  <c r="X20" i="21"/>
  <c r="P20" i="2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X18" i="21"/>
  <c r="P18" i="21"/>
  <c r="N18" i="21"/>
  <c r="D18" i="21"/>
  <c r="L18" i="21" s="1"/>
  <c r="B18" i="21"/>
  <c r="Z17" i="21"/>
  <c r="X17" i="21"/>
  <c r="P17" i="21"/>
  <c r="N17" i="21"/>
  <c r="L17" i="21"/>
  <c r="D17" i="21"/>
  <c r="B17" i="21"/>
  <c r="P16" i="21"/>
  <c r="X16" i="21" s="1"/>
  <c r="Z16" i="21" s="1"/>
  <c r="N16" i="21"/>
  <c r="L16" i="21"/>
  <c r="D16" i="21"/>
  <c r="B16" i="21"/>
  <c r="Z15" i="21"/>
  <c r="X15" i="21"/>
  <c r="P15" i="21"/>
  <c r="N15" i="21"/>
  <c r="L15" i="21"/>
  <c r="D15" i="21"/>
  <c r="B15" i="21"/>
  <c r="Z14" i="21"/>
  <c r="X14" i="21"/>
  <c r="P14" i="21"/>
  <c r="N14" i="21"/>
  <c r="L14" i="21"/>
  <c r="D14" i="21"/>
  <c r="B14" i="21"/>
  <c r="P13" i="21"/>
  <c r="D13" i="21"/>
  <c r="L13" i="21" s="1"/>
  <c r="N13" i="21" s="1"/>
  <c r="B13" i="21"/>
  <c r="T12" i="21"/>
  <c r="H12" i="21"/>
  <c r="J88" i="21" s="1"/>
  <c r="D4" i="21"/>
  <c r="Z253" i="18"/>
  <c r="X253" i="18"/>
  <c r="V253" i="18"/>
  <c r="N253" i="18"/>
  <c r="L253" i="18"/>
  <c r="Z249" i="18"/>
  <c r="P249" i="18"/>
  <c r="X249" i="18" s="1"/>
  <c r="N249" i="18"/>
  <c r="L249" i="18"/>
  <c r="D249" i="18"/>
  <c r="B249" i="18"/>
  <c r="Z248" i="18"/>
  <c r="P248" i="18"/>
  <c r="X248" i="18" s="1"/>
  <c r="N248" i="18"/>
  <c r="J248" i="18"/>
  <c r="D248" i="18"/>
  <c r="L248" i="18" s="1"/>
  <c r="B248" i="18"/>
  <c r="X247" i="18"/>
  <c r="Z247" i="18" s="1"/>
  <c r="P247" i="18"/>
  <c r="N247" i="18"/>
  <c r="L247" i="18"/>
  <c r="D247" i="18"/>
  <c r="B247" i="18"/>
  <c r="X246" i="18"/>
  <c r="Z246" i="18" s="1"/>
  <c r="P246" i="18"/>
  <c r="L246" i="18"/>
  <c r="N246" i="18" s="1"/>
  <c r="D246" i="18"/>
  <c r="D244" i="18" s="1"/>
  <c r="L244" i="18" s="1"/>
  <c r="B246" i="18"/>
  <c r="Z245" i="18"/>
  <c r="P245" i="18"/>
  <c r="X245" i="18" s="1"/>
  <c r="N245" i="18"/>
  <c r="L245" i="18"/>
  <c r="D245" i="18"/>
  <c r="B245" i="18"/>
  <c r="T244" i="18"/>
  <c r="H244" i="18"/>
  <c r="X242" i="18"/>
  <c r="Z242" i="18" s="1"/>
  <c r="N242" i="18"/>
  <c r="L242" i="18"/>
  <c r="B242" i="18"/>
  <c r="V241" i="18"/>
  <c r="T241" i="18"/>
  <c r="P241" i="18"/>
  <c r="X241" i="18" s="1"/>
  <c r="Z241" i="18" s="1"/>
  <c r="H241" i="18"/>
  <c r="D241" i="18"/>
  <c r="L241" i="18" s="1"/>
  <c r="N241" i="18" s="1"/>
  <c r="B241" i="18"/>
  <c r="X240" i="18"/>
  <c r="Z240" i="18" s="1"/>
  <c r="L240" i="18"/>
  <c r="N240" i="18" s="1"/>
  <c r="B240" i="18"/>
  <c r="X239" i="18"/>
  <c r="Z239" i="18" s="1"/>
  <c r="V239" i="18"/>
  <c r="N239" i="18"/>
  <c r="L239" i="18"/>
  <c r="B239" i="18"/>
  <c r="Z238" i="18"/>
  <c r="X238" i="18"/>
  <c r="N238" i="18"/>
  <c r="L238" i="18"/>
  <c r="B238" i="18"/>
  <c r="T237" i="18"/>
  <c r="Z237" i="18" s="1"/>
  <c r="P237" i="18"/>
  <c r="X237" i="18" s="1"/>
  <c r="L237" i="18"/>
  <c r="N237" i="18" s="1"/>
  <c r="H237" i="18"/>
  <c r="D237" i="18"/>
  <c r="B237" i="18"/>
  <c r="X236" i="18"/>
  <c r="Z236" i="18" s="1"/>
  <c r="N236" i="18"/>
  <c r="L236" i="18"/>
  <c r="B236" i="18"/>
  <c r="T235" i="18"/>
  <c r="P235" i="18"/>
  <c r="X235" i="18" s="1"/>
  <c r="Z235" i="18" s="1"/>
  <c r="H235" i="18"/>
  <c r="D235" i="18"/>
  <c r="B235" i="18"/>
  <c r="X234" i="18"/>
  <c r="Z234" i="18" s="1"/>
  <c r="N234" i="18"/>
  <c r="L234" i="18"/>
  <c r="B234" i="18"/>
  <c r="Z233" i="18"/>
  <c r="X233" i="18"/>
  <c r="V233" i="18"/>
  <c r="N233" i="18"/>
  <c r="L233" i="18"/>
  <c r="B233" i="18"/>
  <c r="V232" i="18"/>
  <c r="T232" i="18"/>
  <c r="P232" i="18"/>
  <c r="X232" i="18" s="1"/>
  <c r="H232" i="18"/>
  <c r="D232" i="18"/>
  <c r="B232" i="18"/>
  <c r="X231" i="18"/>
  <c r="Z231" i="18" s="1"/>
  <c r="V231" i="18"/>
  <c r="N231" i="18"/>
  <c r="L231" i="18"/>
  <c r="B231" i="18"/>
  <c r="Z230" i="18"/>
  <c r="X230" i="18"/>
  <c r="L230" i="18"/>
  <c r="N230" i="18" s="1"/>
  <c r="B230" i="18"/>
  <c r="Z229" i="18"/>
  <c r="X229" i="18"/>
  <c r="L229" i="18"/>
  <c r="N229" i="18" s="1"/>
  <c r="B229" i="18"/>
  <c r="X228" i="18"/>
  <c r="Z228" i="18" s="1"/>
  <c r="N228" i="18"/>
  <c r="L228" i="18"/>
  <c r="B228" i="18"/>
  <c r="X227" i="18"/>
  <c r="Z227" i="18" s="1"/>
  <c r="V227" i="18"/>
  <c r="N227" i="18"/>
  <c r="L227" i="18"/>
  <c r="B227" i="18"/>
  <c r="Z226" i="18"/>
  <c r="X226" i="18"/>
  <c r="L226" i="18"/>
  <c r="N226" i="18" s="1"/>
  <c r="B226" i="18"/>
  <c r="Z225" i="18"/>
  <c r="X225" i="18"/>
  <c r="L225" i="18"/>
  <c r="N225" i="18" s="1"/>
  <c r="B225" i="18"/>
  <c r="X224" i="18"/>
  <c r="Z224" i="18" s="1"/>
  <c r="L224" i="18"/>
  <c r="N224" i="18" s="1"/>
  <c r="B224" i="18"/>
  <c r="X223" i="18"/>
  <c r="Z223" i="18" s="1"/>
  <c r="V223" i="18"/>
  <c r="N223" i="18"/>
  <c r="L223" i="18"/>
  <c r="B223" i="18"/>
  <c r="T222" i="18"/>
  <c r="P222" i="18"/>
  <c r="X222" i="18" s="1"/>
  <c r="Z222" i="18" s="1"/>
  <c r="L222" i="18"/>
  <c r="H222" i="18"/>
  <c r="D222" i="18"/>
  <c r="B222" i="18"/>
  <c r="Z221" i="18"/>
  <c r="X221" i="18"/>
  <c r="N221" i="18"/>
  <c r="L221" i="18"/>
  <c r="J221" i="18"/>
  <c r="B221" i="18"/>
  <c r="X220" i="18"/>
  <c r="Z220" i="18" s="1"/>
  <c r="L220" i="18"/>
  <c r="N220" i="18" s="1"/>
  <c r="B220" i="18"/>
  <c r="Z219" i="18"/>
  <c r="T219" i="18"/>
  <c r="P219" i="18"/>
  <c r="X219" i="18" s="1"/>
  <c r="H219" i="18"/>
  <c r="D219" i="18"/>
  <c r="B219" i="18"/>
  <c r="X218" i="18"/>
  <c r="Z218" i="18" s="1"/>
  <c r="N218" i="18"/>
  <c r="L218" i="18"/>
  <c r="B218" i="18"/>
  <c r="Z217" i="18"/>
  <c r="X217" i="18"/>
  <c r="V217" i="18"/>
  <c r="N217" i="18"/>
  <c r="L217" i="18"/>
  <c r="B217" i="18"/>
  <c r="Z216" i="18"/>
  <c r="X216" i="18"/>
  <c r="V216" i="18"/>
  <c r="N216" i="18"/>
  <c r="L216" i="18"/>
  <c r="B216" i="18"/>
  <c r="X215" i="18"/>
  <c r="Z215" i="18" s="1"/>
  <c r="L215" i="18"/>
  <c r="N215" i="18" s="1"/>
  <c r="B215" i="18"/>
  <c r="T214" i="18"/>
  <c r="P214" i="18"/>
  <c r="H214" i="18"/>
  <c r="D214" i="18"/>
  <c r="B214" i="18"/>
  <c r="Z213" i="18"/>
  <c r="X213" i="18"/>
  <c r="L213" i="18"/>
  <c r="N213" i="18" s="1"/>
  <c r="B213" i="18"/>
  <c r="X212" i="18"/>
  <c r="Z212" i="18" s="1"/>
  <c r="L212" i="18"/>
  <c r="N212" i="18" s="1"/>
  <c r="B212" i="18"/>
  <c r="X211" i="18"/>
  <c r="Z211" i="18" s="1"/>
  <c r="V211" i="18"/>
  <c r="N211" i="18"/>
  <c r="L211" i="18"/>
  <c r="B211" i="18"/>
  <c r="Z210" i="18"/>
  <c r="X210" i="18"/>
  <c r="N210" i="18"/>
  <c r="L210" i="18"/>
  <c r="B210" i="18"/>
  <c r="T209" i="18"/>
  <c r="Z209" i="18" s="1"/>
  <c r="P209" i="18"/>
  <c r="X209" i="18" s="1"/>
  <c r="L209" i="18"/>
  <c r="N209" i="18" s="1"/>
  <c r="H209" i="18"/>
  <c r="D209" i="18"/>
  <c r="B209" i="18"/>
  <c r="X208" i="18"/>
  <c r="Z208" i="18" s="1"/>
  <c r="L208" i="18"/>
  <c r="N208" i="18" s="1"/>
  <c r="J208" i="18"/>
  <c r="B208" i="18"/>
  <c r="Z207" i="18"/>
  <c r="X207" i="18"/>
  <c r="L207" i="18"/>
  <c r="N207" i="18" s="1"/>
  <c r="B207" i="18"/>
  <c r="Z206" i="18"/>
  <c r="X206" i="18"/>
  <c r="N206" i="18"/>
  <c r="L206" i="18"/>
  <c r="B206" i="18"/>
  <c r="X205" i="18"/>
  <c r="Z205" i="18" s="1"/>
  <c r="N205" i="18"/>
  <c r="L205" i="18"/>
  <c r="B205" i="18"/>
  <c r="X204" i="18"/>
  <c r="T204" i="18"/>
  <c r="Z204" i="18" s="1"/>
  <c r="P204" i="18"/>
  <c r="H204" i="18"/>
  <c r="L204" i="18" s="1"/>
  <c r="N204" i="18" s="1"/>
  <c r="D204" i="18"/>
  <c r="B204" i="18"/>
  <c r="X203" i="18"/>
  <c r="Z203" i="18" s="1"/>
  <c r="L203" i="18"/>
  <c r="N203" i="18" s="1"/>
  <c r="B203" i="18"/>
  <c r="T202" i="18"/>
  <c r="P202" i="18"/>
  <c r="H202" i="18"/>
  <c r="J202" i="18" s="1"/>
  <c r="D202" i="18"/>
  <c r="B202" i="18"/>
  <c r="Z201" i="18"/>
  <c r="X201" i="18"/>
  <c r="N201" i="18"/>
  <c r="L201" i="18"/>
  <c r="B201" i="18"/>
  <c r="X200" i="18"/>
  <c r="T200" i="18"/>
  <c r="P200" i="18"/>
  <c r="N200" i="18"/>
  <c r="H200" i="18"/>
  <c r="D200" i="18"/>
  <c r="L200" i="18" s="1"/>
  <c r="B200" i="18"/>
  <c r="Z199" i="18"/>
  <c r="X199" i="18"/>
  <c r="N199" i="18"/>
  <c r="L199" i="18"/>
  <c r="B199" i="18"/>
  <c r="X198" i="18"/>
  <c r="Z198" i="18" s="1"/>
  <c r="L198" i="18"/>
  <c r="N198" i="18" s="1"/>
  <c r="B198" i="18"/>
  <c r="T197" i="18"/>
  <c r="P197" i="18"/>
  <c r="N197" i="18"/>
  <c r="H197" i="18"/>
  <c r="D197" i="18"/>
  <c r="L197" i="18" s="1"/>
  <c r="B197" i="18"/>
  <c r="X196" i="18"/>
  <c r="Z196" i="18" s="1"/>
  <c r="V196" i="18"/>
  <c r="L196" i="18"/>
  <c r="N196" i="18" s="1"/>
  <c r="B196" i="18"/>
  <c r="T195" i="18"/>
  <c r="P195" i="18"/>
  <c r="X195" i="18" s="1"/>
  <c r="Z195" i="18" s="1"/>
  <c r="N195" i="18"/>
  <c r="J195" i="18"/>
  <c r="H195" i="18"/>
  <c r="D195" i="18"/>
  <c r="L195" i="18" s="1"/>
  <c r="B195" i="18"/>
  <c r="Z194" i="18"/>
  <c r="X194" i="18"/>
  <c r="N194" i="18"/>
  <c r="L194" i="18"/>
  <c r="B194" i="18"/>
  <c r="Z193" i="18"/>
  <c r="X193" i="18"/>
  <c r="N193" i="18"/>
  <c r="L193" i="18"/>
  <c r="B193" i="18"/>
  <c r="X192" i="18"/>
  <c r="Z192" i="18" s="1"/>
  <c r="N192" i="18"/>
  <c r="L192" i="18"/>
  <c r="B192" i="18"/>
  <c r="X191" i="18"/>
  <c r="Z191" i="18" s="1"/>
  <c r="V191" i="18"/>
  <c r="T191" i="18"/>
  <c r="P191" i="18"/>
  <c r="H191" i="18"/>
  <c r="N191" i="18" s="1"/>
  <c r="D191" i="18"/>
  <c r="L191" i="18" s="1"/>
  <c r="B191" i="18"/>
  <c r="X190" i="18"/>
  <c r="Z190" i="18" s="1"/>
  <c r="L190" i="18"/>
  <c r="N190" i="18" s="1"/>
  <c r="B190" i="18"/>
  <c r="X189" i="18"/>
  <c r="Z189" i="18" s="1"/>
  <c r="N189" i="18"/>
  <c r="L189" i="18"/>
  <c r="B189" i="18"/>
  <c r="X188" i="18"/>
  <c r="T188" i="18"/>
  <c r="Z188" i="18" s="1"/>
  <c r="P188" i="18"/>
  <c r="H188" i="18"/>
  <c r="L188" i="18" s="1"/>
  <c r="N188" i="18" s="1"/>
  <c r="D188" i="18"/>
  <c r="B188" i="18"/>
  <c r="X187" i="18"/>
  <c r="Z187" i="18" s="1"/>
  <c r="L187" i="18"/>
  <c r="N187" i="18" s="1"/>
  <c r="B187" i="18"/>
  <c r="T186" i="18"/>
  <c r="P186" i="18"/>
  <c r="H186" i="18"/>
  <c r="J186" i="18" s="1"/>
  <c r="D186" i="18"/>
  <c r="B186" i="18"/>
  <c r="Z185" i="18"/>
  <c r="X185" i="18"/>
  <c r="L185" i="18"/>
  <c r="N185" i="18" s="1"/>
  <c r="B185" i="18"/>
  <c r="X184" i="18"/>
  <c r="T184" i="18"/>
  <c r="P184" i="18"/>
  <c r="H184" i="18"/>
  <c r="D184" i="18"/>
  <c r="L184" i="18" s="1"/>
  <c r="N184" i="18" s="1"/>
  <c r="B184" i="18"/>
  <c r="Z183" i="18"/>
  <c r="X183" i="18"/>
  <c r="L183" i="18"/>
  <c r="N183" i="18" s="1"/>
  <c r="B183" i="18"/>
  <c r="Z182" i="18"/>
  <c r="X182" i="18"/>
  <c r="N182" i="18"/>
  <c r="L182" i="18"/>
  <c r="B182" i="18"/>
  <c r="T181" i="18"/>
  <c r="P181" i="18"/>
  <c r="H181" i="18"/>
  <c r="D181" i="18"/>
  <c r="L181" i="18" s="1"/>
  <c r="N181" i="18" s="1"/>
  <c r="B181" i="18"/>
  <c r="Z180" i="18"/>
  <c r="X180" i="18"/>
  <c r="V180" i="18"/>
  <c r="N180" i="18"/>
  <c r="L180" i="18"/>
  <c r="B180" i="18"/>
  <c r="X179" i="18"/>
  <c r="Z179" i="18" s="1"/>
  <c r="L179" i="18"/>
  <c r="N179" i="18" s="1"/>
  <c r="B179" i="18"/>
  <c r="T178" i="18"/>
  <c r="P178" i="18"/>
  <c r="H178" i="18"/>
  <c r="D178" i="18"/>
  <c r="L178" i="18" s="1"/>
  <c r="B178" i="18"/>
  <c r="X177" i="18"/>
  <c r="Z177" i="18" s="1"/>
  <c r="L177" i="18"/>
  <c r="N177" i="18" s="1"/>
  <c r="B177" i="18"/>
  <c r="Z176" i="18"/>
  <c r="X176" i="18"/>
  <c r="N176" i="18"/>
  <c r="L176" i="18"/>
  <c r="B176" i="18"/>
  <c r="X175" i="18"/>
  <c r="Z175" i="18" s="1"/>
  <c r="V175" i="18"/>
  <c r="T175" i="18"/>
  <c r="P175" i="18"/>
  <c r="H175" i="18"/>
  <c r="D175" i="18"/>
  <c r="L175" i="18" s="1"/>
  <c r="B175" i="18"/>
  <c r="Z174" i="18"/>
  <c r="X174" i="18"/>
  <c r="L174" i="18"/>
  <c r="N174" i="18" s="1"/>
  <c r="B174" i="18"/>
  <c r="T173" i="18"/>
  <c r="P173" i="18"/>
  <c r="N173" i="18"/>
  <c r="H173" i="18"/>
  <c r="D173" i="18"/>
  <c r="L173" i="18" s="1"/>
  <c r="B173" i="18"/>
  <c r="X172" i="18"/>
  <c r="Z172" i="18" s="1"/>
  <c r="V172" i="18"/>
  <c r="L172" i="18"/>
  <c r="N172" i="18" s="1"/>
  <c r="B172" i="18"/>
  <c r="X171" i="18"/>
  <c r="Z171" i="18" s="1"/>
  <c r="L171" i="18"/>
  <c r="N171" i="18" s="1"/>
  <c r="B171" i="18"/>
  <c r="T170" i="18"/>
  <c r="P170" i="18"/>
  <c r="H170" i="18"/>
  <c r="D170" i="18"/>
  <c r="B170" i="18"/>
  <c r="X169" i="18"/>
  <c r="Z169" i="18" s="1"/>
  <c r="L169" i="18"/>
  <c r="N169" i="18" s="1"/>
  <c r="B169" i="18"/>
  <c r="X168" i="18"/>
  <c r="T168" i="18"/>
  <c r="Z168" i="18" s="1"/>
  <c r="P168" i="18"/>
  <c r="H168" i="18"/>
  <c r="D168" i="18"/>
  <c r="L168" i="18" s="1"/>
  <c r="N168" i="18" s="1"/>
  <c r="B168" i="18"/>
  <c r="Z167" i="18"/>
  <c r="X167" i="18"/>
  <c r="N167" i="18"/>
  <c r="L167" i="18"/>
  <c r="B167" i="18"/>
  <c r="Z166" i="18"/>
  <c r="X166" i="18"/>
  <c r="N166" i="18"/>
  <c r="L166" i="18"/>
  <c r="B166" i="18"/>
  <c r="X165" i="18"/>
  <c r="Z165" i="18" s="1"/>
  <c r="N165" i="18"/>
  <c r="L165" i="18"/>
  <c r="J165" i="18"/>
  <c r="B165" i="18"/>
  <c r="X164" i="18"/>
  <c r="Z164" i="18" s="1"/>
  <c r="N164" i="18"/>
  <c r="L164" i="18"/>
  <c r="J164" i="18"/>
  <c r="B164" i="18"/>
  <c r="Z163" i="18"/>
  <c r="X163" i="18"/>
  <c r="N163" i="18"/>
  <c r="L163" i="18"/>
  <c r="B163" i="18"/>
  <c r="Z162" i="18"/>
  <c r="X162" i="18"/>
  <c r="L162" i="18"/>
  <c r="N162" i="18" s="1"/>
  <c r="B162" i="18"/>
  <c r="X161" i="18"/>
  <c r="Z161" i="18" s="1"/>
  <c r="N161" i="18"/>
  <c r="L161" i="18"/>
  <c r="B161" i="18"/>
  <c r="Z160" i="18"/>
  <c r="X160" i="18"/>
  <c r="N160" i="18"/>
  <c r="L160" i="18"/>
  <c r="B160" i="18"/>
  <c r="Z159" i="18"/>
  <c r="X159" i="18"/>
  <c r="L159" i="18"/>
  <c r="N159" i="18" s="1"/>
  <c r="B159" i="18"/>
  <c r="X158" i="18"/>
  <c r="Z158" i="18" s="1"/>
  <c r="L158" i="18"/>
  <c r="N158" i="18" s="1"/>
  <c r="B158" i="18"/>
  <c r="T157" i="18"/>
  <c r="P157" i="18"/>
  <c r="N157" i="18"/>
  <c r="H157" i="18"/>
  <c r="D157" i="18"/>
  <c r="L157" i="18" s="1"/>
  <c r="B157" i="18"/>
  <c r="X156" i="18"/>
  <c r="Z156" i="18" s="1"/>
  <c r="V156" i="18"/>
  <c r="L156" i="18"/>
  <c r="N156" i="18" s="1"/>
  <c r="B156" i="18"/>
  <c r="X155" i="18"/>
  <c r="Z155" i="18" s="1"/>
  <c r="L155" i="18"/>
  <c r="N155" i="18" s="1"/>
  <c r="B155" i="18"/>
  <c r="X154" i="18"/>
  <c r="Z154" i="18" s="1"/>
  <c r="N154" i="18"/>
  <c r="L154" i="18"/>
  <c r="B154" i="18"/>
  <c r="Z153" i="18"/>
  <c r="X153" i="18"/>
  <c r="V153" i="18"/>
  <c r="N153" i="18"/>
  <c r="L153" i="18"/>
  <c r="B153" i="18"/>
  <c r="Z152" i="18"/>
  <c r="X152" i="18"/>
  <c r="V152" i="18"/>
  <c r="N152" i="18"/>
  <c r="L152" i="18"/>
  <c r="B152" i="18"/>
  <c r="X151" i="18"/>
  <c r="Z151" i="18" s="1"/>
  <c r="L151" i="18"/>
  <c r="N151" i="18" s="1"/>
  <c r="J151" i="18"/>
  <c r="B151" i="18"/>
  <c r="X150" i="18"/>
  <c r="Z150" i="18" s="1"/>
  <c r="N150" i="18"/>
  <c r="L150" i="18"/>
  <c r="B150" i="18"/>
  <c r="Z149" i="18"/>
  <c r="X149" i="18"/>
  <c r="V149" i="18"/>
  <c r="L149" i="18"/>
  <c r="N149" i="18" s="1"/>
  <c r="B149" i="18"/>
  <c r="X148" i="18"/>
  <c r="Z148" i="18" s="1"/>
  <c r="V148" i="18"/>
  <c r="L148" i="18"/>
  <c r="N148" i="18" s="1"/>
  <c r="B148" i="18"/>
  <c r="X147" i="18"/>
  <c r="Z147" i="18" s="1"/>
  <c r="L147" i="18"/>
  <c r="N147" i="18" s="1"/>
  <c r="B147" i="18"/>
  <c r="T146" i="18"/>
  <c r="P146" i="18"/>
  <c r="X146" i="18" s="1"/>
  <c r="J146" i="18"/>
  <c r="H146" i="18"/>
  <c r="D146" i="18"/>
  <c r="L146" i="18" s="1"/>
  <c r="B146" i="18"/>
  <c r="T145" i="18"/>
  <c r="Z145" i="18" s="1"/>
  <c r="P145" i="18"/>
  <c r="X145" i="18" s="1"/>
  <c r="L145" i="18"/>
  <c r="N145" i="18" s="1"/>
  <c r="J145" i="18"/>
  <c r="H145" i="18"/>
  <c r="D145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V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V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V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V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V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V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V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V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V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V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V95" i="18"/>
  <c r="N95" i="18"/>
  <c r="L95" i="18"/>
  <c r="B95" i="18"/>
  <c r="Z94" i="18"/>
  <c r="X94" i="18"/>
  <c r="L94" i="18"/>
  <c r="N94" i="18" s="1"/>
  <c r="B94" i="18"/>
  <c r="T93" i="18"/>
  <c r="Z93" i="18" s="1"/>
  <c r="P93" i="18"/>
  <c r="X93" i="18" s="1"/>
  <c r="L93" i="18"/>
  <c r="N93" i="18" s="1"/>
  <c r="J93" i="18"/>
  <c r="H93" i="18"/>
  <c r="D93" i="18"/>
  <c r="Z91" i="18"/>
  <c r="P91" i="18"/>
  <c r="X91" i="18" s="1"/>
  <c r="N91" i="18"/>
  <c r="D91" i="18"/>
  <c r="L91" i="18" s="1"/>
  <c r="B91" i="18"/>
  <c r="Z90" i="18"/>
  <c r="X90" i="18"/>
  <c r="P90" i="18"/>
  <c r="N90" i="18"/>
  <c r="L90" i="18"/>
  <c r="D90" i="18"/>
  <c r="B90" i="18"/>
  <c r="Z89" i="18"/>
  <c r="X89" i="18"/>
  <c r="P89" i="18"/>
  <c r="N89" i="18"/>
  <c r="D89" i="18"/>
  <c r="L89" i="18" s="1"/>
  <c r="B89" i="18"/>
  <c r="Z88" i="18"/>
  <c r="X88" i="18"/>
  <c r="P88" i="18"/>
  <c r="N88" i="18"/>
  <c r="D88" i="18"/>
  <c r="L88" i="18" s="1"/>
  <c r="B88" i="18"/>
  <c r="Z87" i="18"/>
  <c r="X87" i="18"/>
  <c r="P87" i="18"/>
  <c r="N87" i="18"/>
  <c r="L87" i="18"/>
  <c r="D87" i="18"/>
  <c r="B87" i="18"/>
  <c r="Z86" i="18"/>
  <c r="P86" i="18"/>
  <c r="X86" i="18" s="1"/>
  <c r="N86" i="18"/>
  <c r="L86" i="18"/>
  <c r="D86" i="18"/>
  <c r="B86" i="18"/>
  <c r="Z85" i="18"/>
  <c r="P85" i="18"/>
  <c r="X85" i="18" s="1"/>
  <c r="N85" i="18"/>
  <c r="L85" i="18"/>
  <c r="D85" i="18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X81" i="18"/>
  <c r="P81" i="18"/>
  <c r="N81" i="18"/>
  <c r="D81" i="18"/>
  <c r="L81" i="18" s="1"/>
  <c r="B81" i="18"/>
  <c r="Z80" i="18"/>
  <c r="P80" i="18"/>
  <c r="X80" i="18" s="1"/>
  <c r="N80" i="18"/>
  <c r="D80" i="18"/>
  <c r="L80" i="18" s="1"/>
  <c r="B80" i="18"/>
  <c r="Z79" i="18"/>
  <c r="P79" i="18"/>
  <c r="X79" i="18" s="1"/>
  <c r="N79" i="18"/>
  <c r="D79" i="18"/>
  <c r="L79" i="18" s="1"/>
  <c r="B79" i="18"/>
  <c r="Z78" i="18"/>
  <c r="X78" i="18"/>
  <c r="P78" i="18"/>
  <c r="N78" i="18"/>
  <c r="L78" i="18"/>
  <c r="D78" i="18"/>
  <c r="B78" i="18"/>
  <c r="Z77" i="18"/>
  <c r="X77" i="18"/>
  <c r="P77" i="18"/>
  <c r="N77" i="18"/>
  <c r="D77" i="18"/>
  <c r="L77" i="18" s="1"/>
  <c r="B77" i="18"/>
  <c r="Z76" i="18"/>
  <c r="X76" i="18"/>
  <c r="P76" i="18"/>
  <c r="N76" i="18"/>
  <c r="D76" i="18"/>
  <c r="L76" i="18" s="1"/>
  <c r="B76" i="18"/>
  <c r="Z75" i="18"/>
  <c r="X75" i="18"/>
  <c r="P75" i="18"/>
  <c r="N75" i="18"/>
  <c r="L75" i="18"/>
  <c r="D75" i="18"/>
  <c r="B75" i="18"/>
  <c r="Z74" i="18"/>
  <c r="P74" i="18"/>
  <c r="X74" i="18" s="1"/>
  <c r="N74" i="18"/>
  <c r="L74" i="18"/>
  <c r="D74" i="18"/>
  <c r="B74" i="18"/>
  <c r="Z73" i="18"/>
  <c r="P73" i="18"/>
  <c r="X73" i="18" s="1"/>
  <c r="N73" i="18"/>
  <c r="L73" i="18"/>
  <c r="D73" i="18"/>
  <c r="B73" i="18"/>
  <c r="Z72" i="18"/>
  <c r="P72" i="18"/>
  <c r="X72" i="18" s="1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P67" i="18"/>
  <c r="X67" i="18" s="1"/>
  <c r="N67" i="18"/>
  <c r="D67" i="18"/>
  <c r="L67" i="18" s="1"/>
  <c r="B67" i="18"/>
  <c r="Z66" i="18"/>
  <c r="X66" i="18"/>
  <c r="P66" i="18"/>
  <c r="N66" i="18"/>
  <c r="L66" i="18"/>
  <c r="D66" i="18"/>
  <c r="B66" i="18"/>
  <c r="Z65" i="18"/>
  <c r="X65" i="18"/>
  <c r="P65" i="18"/>
  <c r="N65" i="18"/>
  <c r="D65" i="18"/>
  <c r="L65" i="18" s="1"/>
  <c r="B65" i="18"/>
  <c r="Z64" i="18"/>
  <c r="X64" i="18"/>
  <c r="P64" i="18"/>
  <c r="N64" i="18"/>
  <c r="D64" i="18"/>
  <c r="L64" i="18" s="1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L62" i="18"/>
  <c r="D62" i="18"/>
  <c r="B62" i="18"/>
  <c r="Z61" i="18"/>
  <c r="P61" i="18"/>
  <c r="X61" i="18" s="1"/>
  <c r="N61" i="18"/>
  <c r="L61" i="18"/>
  <c r="D61" i="18"/>
  <c r="B61" i="18"/>
  <c r="Z60" i="18"/>
  <c r="P60" i="18"/>
  <c r="X60" i="18" s="1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X57" i="18"/>
  <c r="P57" i="18"/>
  <c r="N57" i="18"/>
  <c r="D57" i="18"/>
  <c r="L57" i="18" s="1"/>
  <c r="B57" i="18"/>
  <c r="Z56" i="18"/>
  <c r="P56" i="18"/>
  <c r="X56" i="18" s="1"/>
  <c r="N56" i="18"/>
  <c r="D56" i="18"/>
  <c r="L56" i="18" s="1"/>
  <c r="B56" i="18"/>
  <c r="Z55" i="18"/>
  <c r="P55" i="18"/>
  <c r="X55" i="18" s="1"/>
  <c r="N55" i="18"/>
  <c r="D55" i="18"/>
  <c r="L55" i="18" s="1"/>
  <c r="B55" i="18"/>
  <c r="Z54" i="18"/>
  <c r="X54" i="18"/>
  <c r="P54" i="18"/>
  <c r="N54" i="18"/>
  <c r="L54" i="18"/>
  <c r="D54" i="18"/>
  <c r="B54" i="18"/>
  <c r="Z53" i="18"/>
  <c r="X53" i="18"/>
  <c r="P53" i="18"/>
  <c r="N53" i="18"/>
  <c r="D53" i="18"/>
  <c r="L53" i="18" s="1"/>
  <c r="B53" i="18"/>
  <c r="Z52" i="18"/>
  <c r="X52" i="18"/>
  <c r="P52" i="18"/>
  <c r="N52" i="18"/>
  <c r="D52" i="18"/>
  <c r="L52" i="18" s="1"/>
  <c r="B52" i="18"/>
  <c r="Z51" i="18"/>
  <c r="X51" i="18"/>
  <c r="P51" i="18"/>
  <c r="N51" i="18"/>
  <c r="L51" i="18"/>
  <c r="D51" i="18"/>
  <c r="B51" i="18"/>
  <c r="Z50" i="18"/>
  <c r="P50" i="18"/>
  <c r="X50" i="18" s="1"/>
  <c r="N50" i="18"/>
  <c r="L50" i="18"/>
  <c r="D50" i="18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L48" i="18"/>
  <c r="D48" i="18"/>
  <c r="B48" i="18"/>
  <c r="Z47" i="18"/>
  <c r="P47" i="18"/>
  <c r="X47" i="18" s="1"/>
  <c r="N47" i="18"/>
  <c r="L47" i="18"/>
  <c r="D47" i="18"/>
  <c r="B47" i="18"/>
  <c r="Z46" i="18"/>
  <c r="P46" i="18"/>
  <c r="X46" i="18" s="1"/>
  <c r="N46" i="18"/>
  <c r="L46" i="18"/>
  <c r="D46" i="18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D43" i="18"/>
  <c r="L43" i="18" s="1"/>
  <c r="B43" i="18"/>
  <c r="Z42" i="18"/>
  <c r="X42" i="18"/>
  <c r="P42" i="18"/>
  <c r="N42" i="18"/>
  <c r="L42" i="18"/>
  <c r="D42" i="18"/>
  <c r="B42" i="18"/>
  <c r="Z41" i="18"/>
  <c r="X41" i="18"/>
  <c r="P41" i="18"/>
  <c r="N41" i="18"/>
  <c r="D41" i="18"/>
  <c r="L41" i="18" s="1"/>
  <c r="B41" i="18"/>
  <c r="Z40" i="18"/>
  <c r="X40" i="18"/>
  <c r="P40" i="18"/>
  <c r="N40" i="18"/>
  <c r="D40" i="18"/>
  <c r="L40" i="18" s="1"/>
  <c r="B40" i="18"/>
  <c r="Z39" i="18"/>
  <c r="X39" i="18"/>
  <c r="P39" i="18"/>
  <c r="N39" i="18"/>
  <c r="L39" i="18"/>
  <c r="D39" i="18"/>
  <c r="B39" i="18"/>
  <c r="Z38" i="18"/>
  <c r="X38" i="18"/>
  <c r="P38" i="18"/>
  <c r="L38" i="18"/>
  <c r="N38" i="18" s="1"/>
  <c r="D38" i="18"/>
  <c r="B38" i="18"/>
  <c r="Z37" i="18"/>
  <c r="X37" i="18"/>
  <c r="P37" i="18"/>
  <c r="N37" i="18"/>
  <c r="L37" i="18"/>
  <c r="D37" i="18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L35" i="18"/>
  <c r="D35" i="18"/>
  <c r="B35" i="18"/>
  <c r="Z34" i="18"/>
  <c r="P34" i="18"/>
  <c r="X34" i="18" s="1"/>
  <c r="N34" i="18"/>
  <c r="D34" i="18"/>
  <c r="L34" i="18" s="1"/>
  <c r="B34" i="18"/>
  <c r="Z33" i="18"/>
  <c r="X33" i="18"/>
  <c r="P33" i="18"/>
  <c r="N33" i="18"/>
  <c r="D33" i="18"/>
  <c r="L33" i="18" s="1"/>
  <c r="B33" i="18"/>
  <c r="Z32" i="18"/>
  <c r="P32" i="18"/>
  <c r="X32" i="18" s="1"/>
  <c r="N32" i="18"/>
  <c r="D32" i="18"/>
  <c r="L32" i="18" s="1"/>
  <c r="B32" i="18"/>
  <c r="Z31" i="18"/>
  <c r="P31" i="18"/>
  <c r="X31" i="18" s="1"/>
  <c r="N31" i="18"/>
  <c r="D31" i="18"/>
  <c r="L31" i="18" s="1"/>
  <c r="B31" i="18"/>
  <c r="Z30" i="18"/>
  <c r="X30" i="18"/>
  <c r="P30" i="18"/>
  <c r="N30" i="18"/>
  <c r="L30" i="18"/>
  <c r="D30" i="18"/>
  <c r="B30" i="18"/>
  <c r="Z29" i="18"/>
  <c r="X29" i="18"/>
  <c r="P29" i="18"/>
  <c r="N29" i="18"/>
  <c r="D29" i="18"/>
  <c r="L29" i="18" s="1"/>
  <c r="B29" i="18"/>
  <c r="Z28" i="18"/>
  <c r="X28" i="18"/>
  <c r="P28" i="18"/>
  <c r="N28" i="18"/>
  <c r="D28" i="18"/>
  <c r="L28" i="18" s="1"/>
  <c r="B28" i="18"/>
  <c r="Z27" i="18"/>
  <c r="X27" i="18"/>
  <c r="P27" i="18"/>
  <c r="N27" i="18"/>
  <c r="L27" i="18"/>
  <c r="D27" i="18"/>
  <c r="B27" i="18"/>
  <c r="Z26" i="18"/>
  <c r="X26" i="18"/>
  <c r="P26" i="18"/>
  <c r="N26" i="18"/>
  <c r="L26" i="18"/>
  <c r="D26" i="18"/>
  <c r="B26" i="18"/>
  <c r="Z25" i="18"/>
  <c r="X25" i="18"/>
  <c r="P25" i="18"/>
  <c r="N25" i="18"/>
  <c r="L25" i="18"/>
  <c r="D25" i="18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L23" i="18"/>
  <c r="D23" i="18"/>
  <c r="B23" i="18"/>
  <c r="Z22" i="18"/>
  <c r="P22" i="18"/>
  <c r="X22" i="18" s="1"/>
  <c r="N22" i="18"/>
  <c r="D22" i="18"/>
  <c r="L22" i="18" s="1"/>
  <c r="B22" i="18"/>
  <c r="Z21" i="18"/>
  <c r="X21" i="18"/>
  <c r="P21" i="18"/>
  <c r="N21" i="18"/>
  <c r="D21" i="18"/>
  <c r="L21" i="18" s="1"/>
  <c r="B21" i="18"/>
  <c r="Z20" i="18"/>
  <c r="P20" i="18"/>
  <c r="X20" i="18" s="1"/>
  <c r="N20" i="18"/>
  <c r="D20" i="18"/>
  <c r="L20" i="18" s="1"/>
  <c r="B20" i="18"/>
  <c r="Z19" i="18"/>
  <c r="P19" i="18"/>
  <c r="X19" i="18" s="1"/>
  <c r="N19" i="18"/>
  <c r="D19" i="18"/>
  <c r="L19" i="18" s="1"/>
  <c r="B19" i="18"/>
  <c r="Z18" i="18"/>
  <c r="X18" i="18"/>
  <c r="P18" i="18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X16" i="18"/>
  <c r="P16" i="18"/>
  <c r="N16" i="18"/>
  <c r="D16" i="18"/>
  <c r="L16" i="18" s="1"/>
  <c r="B16" i="18"/>
  <c r="Z15" i="18"/>
  <c r="X15" i="18"/>
  <c r="P15" i="18"/>
  <c r="N15" i="18"/>
  <c r="L15" i="18"/>
  <c r="D15" i="18"/>
  <c r="B15" i="18"/>
  <c r="Z14" i="18"/>
  <c r="X14" i="18"/>
  <c r="P14" i="18"/>
  <c r="N14" i="18"/>
  <c r="L14" i="18"/>
  <c r="D14" i="18"/>
  <c r="B14" i="18"/>
  <c r="P13" i="18"/>
  <c r="L13" i="18"/>
  <c r="N13" i="18" s="1"/>
  <c r="D13" i="18"/>
  <c r="B13" i="18"/>
  <c r="T12" i="18"/>
  <c r="V240" i="18" s="1"/>
  <c r="H12" i="18"/>
  <c r="J245" i="18" s="1"/>
  <c r="D4" i="18"/>
  <c r="X229" i="15"/>
  <c r="Z229" i="15" s="1"/>
  <c r="L229" i="15"/>
  <c r="N229" i="15" s="1"/>
  <c r="Z225" i="15"/>
  <c r="V225" i="15"/>
  <c r="P225" i="15"/>
  <c r="X225" i="15" s="1"/>
  <c r="N225" i="15"/>
  <c r="L225" i="15"/>
  <c r="J225" i="15"/>
  <c r="D225" i="15"/>
  <c r="B225" i="15"/>
  <c r="Z224" i="15"/>
  <c r="X224" i="15"/>
  <c r="P224" i="15"/>
  <c r="N224" i="15"/>
  <c r="D224" i="15"/>
  <c r="L224" i="15" s="1"/>
  <c r="B224" i="15"/>
  <c r="V223" i="15"/>
  <c r="P223" i="15"/>
  <c r="P221" i="15" s="1"/>
  <c r="X221" i="15" s="1"/>
  <c r="D223" i="15"/>
  <c r="L223" i="15" s="1"/>
  <c r="N223" i="15" s="1"/>
  <c r="B223" i="15"/>
  <c r="Z222" i="15"/>
  <c r="X222" i="15"/>
  <c r="V222" i="15"/>
  <c r="P222" i="15"/>
  <c r="N222" i="15"/>
  <c r="D222" i="15"/>
  <c r="L222" i="15" s="1"/>
  <c r="B222" i="15"/>
  <c r="T221" i="15"/>
  <c r="N221" i="15"/>
  <c r="H221" i="15"/>
  <c r="D221" i="15"/>
  <c r="L221" i="15" s="1"/>
  <c r="X219" i="15"/>
  <c r="Z219" i="15" s="1"/>
  <c r="N219" i="15"/>
  <c r="L219" i="15"/>
  <c r="J219" i="15"/>
  <c r="B219" i="15"/>
  <c r="X218" i="15"/>
  <c r="V218" i="15"/>
  <c r="T218" i="15"/>
  <c r="Z218" i="15" s="1"/>
  <c r="P218" i="15"/>
  <c r="H218" i="15"/>
  <c r="D218" i="15"/>
  <c r="B218" i="15"/>
  <c r="X217" i="15"/>
  <c r="Z217" i="15" s="1"/>
  <c r="L217" i="15"/>
  <c r="N217" i="15" s="1"/>
  <c r="J217" i="15"/>
  <c r="B217" i="15"/>
  <c r="X216" i="15"/>
  <c r="Z216" i="15" s="1"/>
  <c r="N216" i="15"/>
  <c r="L216" i="15"/>
  <c r="B216" i="15"/>
  <c r="Z215" i="15"/>
  <c r="X215" i="15"/>
  <c r="V215" i="15"/>
  <c r="N215" i="15"/>
  <c r="L215" i="15"/>
  <c r="B215" i="15"/>
  <c r="T214" i="15"/>
  <c r="P214" i="15"/>
  <c r="H214" i="15"/>
  <c r="N214" i="15" s="1"/>
  <c r="D214" i="15"/>
  <c r="L214" i="15" s="1"/>
  <c r="B214" i="15"/>
  <c r="X213" i="15"/>
  <c r="Z213" i="15" s="1"/>
  <c r="V213" i="15"/>
  <c r="N213" i="15"/>
  <c r="L213" i="15"/>
  <c r="B213" i="15"/>
  <c r="T212" i="15"/>
  <c r="P212" i="15"/>
  <c r="X212" i="15" s="1"/>
  <c r="Z212" i="15" s="1"/>
  <c r="L212" i="15"/>
  <c r="H212" i="15"/>
  <c r="N212" i="15" s="1"/>
  <c r="D212" i="15"/>
  <c r="B212" i="15"/>
  <c r="X211" i="15"/>
  <c r="Z211" i="15" s="1"/>
  <c r="N211" i="15"/>
  <c r="L211" i="15"/>
  <c r="J211" i="15"/>
  <c r="B211" i="15"/>
  <c r="X210" i="15"/>
  <c r="Z210" i="15" s="1"/>
  <c r="V210" i="15"/>
  <c r="N210" i="15"/>
  <c r="L210" i="15"/>
  <c r="J210" i="15"/>
  <c r="B210" i="15"/>
  <c r="T209" i="15"/>
  <c r="P209" i="15"/>
  <c r="X209" i="15" s="1"/>
  <c r="Z209" i="15" s="1"/>
  <c r="H209" i="15"/>
  <c r="D209" i="15"/>
  <c r="B209" i="15"/>
  <c r="X208" i="15"/>
  <c r="Z208" i="15" s="1"/>
  <c r="N208" i="15"/>
  <c r="L208" i="15"/>
  <c r="B208" i="15"/>
  <c r="Z207" i="15"/>
  <c r="X207" i="15"/>
  <c r="V207" i="15"/>
  <c r="L207" i="15"/>
  <c r="N207" i="15" s="1"/>
  <c r="B207" i="15"/>
  <c r="Z206" i="15"/>
  <c r="X206" i="15"/>
  <c r="V206" i="15"/>
  <c r="L206" i="15"/>
  <c r="N206" i="15" s="1"/>
  <c r="B206" i="15"/>
  <c r="X205" i="15"/>
  <c r="Z205" i="15" s="1"/>
  <c r="N205" i="15"/>
  <c r="L205" i="15"/>
  <c r="J205" i="15"/>
  <c r="B205" i="15"/>
  <c r="X204" i="15"/>
  <c r="Z204" i="15" s="1"/>
  <c r="N204" i="15"/>
  <c r="L204" i="15"/>
  <c r="B204" i="15"/>
  <c r="Z203" i="15"/>
  <c r="X203" i="15"/>
  <c r="V203" i="15"/>
  <c r="L203" i="15"/>
  <c r="N203" i="15" s="1"/>
  <c r="B203" i="15"/>
  <c r="Z202" i="15"/>
  <c r="X202" i="15"/>
  <c r="V202" i="15"/>
  <c r="L202" i="15"/>
  <c r="N202" i="15" s="1"/>
  <c r="B202" i="15"/>
  <c r="X201" i="15"/>
  <c r="Z201" i="15" s="1"/>
  <c r="L201" i="15"/>
  <c r="N201" i="15" s="1"/>
  <c r="J201" i="15"/>
  <c r="B201" i="15"/>
  <c r="X200" i="15"/>
  <c r="Z200" i="15" s="1"/>
  <c r="N200" i="15"/>
  <c r="L200" i="15"/>
  <c r="B200" i="15"/>
  <c r="Z199" i="15"/>
  <c r="V199" i="15"/>
  <c r="T199" i="15"/>
  <c r="P199" i="15"/>
  <c r="X199" i="15" s="1"/>
  <c r="H199" i="15"/>
  <c r="D199" i="15"/>
  <c r="L199" i="15" s="1"/>
  <c r="N199" i="15" s="1"/>
  <c r="B199" i="15"/>
  <c r="Z198" i="15"/>
  <c r="X198" i="15"/>
  <c r="N198" i="15"/>
  <c r="L198" i="15"/>
  <c r="J198" i="15"/>
  <c r="B198" i="15"/>
  <c r="X197" i="15"/>
  <c r="Z197" i="15" s="1"/>
  <c r="V197" i="15"/>
  <c r="N197" i="15"/>
  <c r="L197" i="15"/>
  <c r="B197" i="15"/>
  <c r="T196" i="15"/>
  <c r="P196" i="15"/>
  <c r="X196" i="15" s="1"/>
  <c r="Z196" i="15" s="1"/>
  <c r="L196" i="15"/>
  <c r="H196" i="15"/>
  <c r="N196" i="15" s="1"/>
  <c r="D196" i="15"/>
  <c r="B196" i="15"/>
  <c r="X195" i="15"/>
  <c r="Z195" i="15" s="1"/>
  <c r="N195" i="15"/>
  <c r="L195" i="15"/>
  <c r="J195" i="15"/>
  <c r="B195" i="15"/>
  <c r="X194" i="15"/>
  <c r="Z194" i="15" s="1"/>
  <c r="V194" i="15"/>
  <c r="N194" i="15"/>
  <c r="L194" i="15"/>
  <c r="J194" i="15"/>
  <c r="B194" i="15"/>
  <c r="Z193" i="15"/>
  <c r="X193" i="15"/>
  <c r="N193" i="15"/>
  <c r="L193" i="15"/>
  <c r="B193" i="15"/>
  <c r="Z192" i="15"/>
  <c r="X192" i="15"/>
  <c r="L192" i="15"/>
  <c r="N192" i="15" s="1"/>
  <c r="B192" i="15"/>
  <c r="T191" i="15"/>
  <c r="P191" i="15"/>
  <c r="H191" i="15"/>
  <c r="D191" i="15"/>
  <c r="L191" i="15" s="1"/>
  <c r="N191" i="15" s="1"/>
  <c r="B191" i="15"/>
  <c r="Z190" i="15"/>
  <c r="X190" i="15"/>
  <c r="V190" i="15"/>
  <c r="L190" i="15"/>
  <c r="N190" i="15" s="1"/>
  <c r="B190" i="15"/>
  <c r="X189" i="15"/>
  <c r="Z189" i="15" s="1"/>
  <c r="L189" i="15"/>
  <c r="N189" i="15" s="1"/>
  <c r="J189" i="15"/>
  <c r="B189" i="15"/>
  <c r="X188" i="15"/>
  <c r="Z188" i="15" s="1"/>
  <c r="N188" i="15"/>
  <c r="L188" i="15"/>
  <c r="B188" i="15"/>
  <c r="Z187" i="15"/>
  <c r="X187" i="15"/>
  <c r="V187" i="15"/>
  <c r="L187" i="15"/>
  <c r="N187" i="15" s="1"/>
  <c r="B187" i="15"/>
  <c r="V186" i="15"/>
  <c r="T186" i="15"/>
  <c r="P186" i="15"/>
  <c r="X186" i="15" s="1"/>
  <c r="H186" i="15"/>
  <c r="D186" i="15"/>
  <c r="L186" i="15" s="1"/>
  <c r="B186" i="15"/>
  <c r="X185" i="15"/>
  <c r="Z185" i="15" s="1"/>
  <c r="V185" i="15"/>
  <c r="N185" i="15"/>
  <c r="L185" i="15"/>
  <c r="B185" i="15"/>
  <c r="Z184" i="15"/>
  <c r="X184" i="15"/>
  <c r="L184" i="15"/>
  <c r="N184" i="15" s="1"/>
  <c r="B184" i="15"/>
  <c r="Z183" i="15"/>
  <c r="X183" i="15"/>
  <c r="N183" i="15"/>
  <c r="L183" i="15"/>
  <c r="B183" i="15"/>
  <c r="X182" i="15"/>
  <c r="Z182" i="15" s="1"/>
  <c r="N182" i="15"/>
  <c r="L182" i="15"/>
  <c r="J182" i="15"/>
  <c r="B182" i="15"/>
  <c r="X181" i="15"/>
  <c r="Z181" i="15" s="1"/>
  <c r="V181" i="15"/>
  <c r="T181" i="15"/>
  <c r="P181" i="15"/>
  <c r="H181" i="15"/>
  <c r="D181" i="15"/>
  <c r="L181" i="15" s="1"/>
  <c r="B181" i="15"/>
  <c r="Z180" i="15"/>
  <c r="X180" i="15"/>
  <c r="N180" i="15"/>
  <c r="L180" i="15"/>
  <c r="B180" i="15"/>
  <c r="T179" i="15"/>
  <c r="P179" i="15"/>
  <c r="N179" i="15"/>
  <c r="H179" i="15"/>
  <c r="D179" i="15"/>
  <c r="L179" i="15" s="1"/>
  <c r="B179" i="15"/>
  <c r="Z178" i="15"/>
  <c r="X178" i="15"/>
  <c r="V178" i="15"/>
  <c r="N178" i="15"/>
  <c r="L178" i="15"/>
  <c r="B178" i="15"/>
  <c r="T177" i="15"/>
  <c r="P177" i="15"/>
  <c r="X177" i="15" s="1"/>
  <c r="Z177" i="15" s="1"/>
  <c r="N177" i="15"/>
  <c r="J177" i="15"/>
  <c r="H177" i="15"/>
  <c r="D177" i="15"/>
  <c r="L177" i="15" s="1"/>
  <c r="B177" i="15"/>
  <c r="Z176" i="15"/>
  <c r="X176" i="15"/>
  <c r="N176" i="15"/>
  <c r="L176" i="15"/>
  <c r="B176" i="15"/>
  <c r="X175" i="15"/>
  <c r="Z175" i="15" s="1"/>
  <c r="V175" i="15"/>
  <c r="L175" i="15"/>
  <c r="N175" i="15" s="1"/>
  <c r="B175" i="15"/>
  <c r="X174" i="15"/>
  <c r="T174" i="15"/>
  <c r="P174" i="15"/>
  <c r="H174" i="15"/>
  <c r="D174" i="15"/>
  <c r="L174" i="15" s="1"/>
  <c r="N174" i="15" s="1"/>
  <c r="B174" i="15"/>
  <c r="Z173" i="15"/>
  <c r="X173" i="15"/>
  <c r="L173" i="15"/>
  <c r="N173" i="15" s="1"/>
  <c r="B173" i="15"/>
  <c r="X172" i="15"/>
  <c r="Z172" i="15" s="1"/>
  <c r="T172" i="15"/>
  <c r="P172" i="15"/>
  <c r="L172" i="15"/>
  <c r="J172" i="15"/>
  <c r="H172" i="15"/>
  <c r="N172" i="15" s="1"/>
  <c r="D172" i="15"/>
  <c r="B172" i="15"/>
  <c r="Z171" i="15"/>
  <c r="X171" i="15"/>
  <c r="V171" i="15"/>
  <c r="L171" i="15"/>
  <c r="N171" i="15" s="1"/>
  <c r="J171" i="15"/>
  <c r="B171" i="15"/>
  <c r="Z170" i="15"/>
  <c r="X170" i="15"/>
  <c r="V170" i="15"/>
  <c r="N170" i="15"/>
  <c r="L170" i="15"/>
  <c r="B170" i="15"/>
  <c r="X169" i="15"/>
  <c r="Z169" i="15" s="1"/>
  <c r="N169" i="15"/>
  <c r="L169" i="15"/>
  <c r="J169" i="15"/>
  <c r="B169" i="15"/>
  <c r="T168" i="15"/>
  <c r="Z168" i="15" s="1"/>
  <c r="P168" i="15"/>
  <c r="X168" i="15" s="1"/>
  <c r="J168" i="15"/>
  <c r="H168" i="15"/>
  <c r="D168" i="15"/>
  <c r="L168" i="15" s="1"/>
  <c r="B168" i="15"/>
  <c r="X167" i="15"/>
  <c r="Z167" i="15" s="1"/>
  <c r="V167" i="15"/>
  <c r="L167" i="15"/>
  <c r="N167" i="15" s="1"/>
  <c r="B167" i="15"/>
  <c r="X166" i="15"/>
  <c r="Z166" i="15" s="1"/>
  <c r="L166" i="15"/>
  <c r="N166" i="15" s="1"/>
  <c r="J166" i="15"/>
  <c r="B166" i="15"/>
  <c r="X165" i="15"/>
  <c r="Z165" i="15" s="1"/>
  <c r="V165" i="15"/>
  <c r="T165" i="15"/>
  <c r="P165" i="15"/>
  <c r="H165" i="15"/>
  <c r="N165" i="15" s="1"/>
  <c r="D165" i="15"/>
  <c r="L165" i="15" s="1"/>
  <c r="B165" i="15"/>
  <c r="X164" i="15"/>
  <c r="Z164" i="15" s="1"/>
  <c r="N164" i="15"/>
  <c r="L164" i="15"/>
  <c r="B164" i="15"/>
  <c r="T163" i="15"/>
  <c r="P163" i="15"/>
  <c r="N163" i="15"/>
  <c r="H163" i="15"/>
  <c r="D163" i="15"/>
  <c r="L163" i="15" s="1"/>
  <c r="B163" i="15"/>
  <c r="Z162" i="15"/>
  <c r="X162" i="15"/>
  <c r="V162" i="15"/>
  <c r="L162" i="15"/>
  <c r="N162" i="15" s="1"/>
  <c r="B162" i="15"/>
  <c r="T161" i="15"/>
  <c r="P161" i="15"/>
  <c r="X161" i="15" s="1"/>
  <c r="Z161" i="15" s="1"/>
  <c r="N161" i="15"/>
  <c r="J161" i="15"/>
  <c r="H161" i="15"/>
  <c r="D161" i="15"/>
  <c r="L161" i="15" s="1"/>
  <c r="B161" i="15"/>
  <c r="Z160" i="15"/>
  <c r="X160" i="15"/>
  <c r="L160" i="15"/>
  <c r="N160" i="15" s="1"/>
  <c r="B160" i="15"/>
  <c r="Z159" i="15"/>
  <c r="X159" i="15"/>
  <c r="V159" i="15"/>
  <c r="N159" i="15"/>
  <c r="L159" i="15"/>
  <c r="B159" i="15"/>
  <c r="X158" i="15"/>
  <c r="T158" i="15"/>
  <c r="P158" i="15"/>
  <c r="H158" i="15"/>
  <c r="D158" i="15"/>
  <c r="L158" i="15" s="1"/>
  <c r="N158" i="15" s="1"/>
  <c r="B158" i="15"/>
  <c r="Z157" i="15"/>
  <c r="X157" i="15"/>
  <c r="N157" i="15"/>
  <c r="L157" i="15"/>
  <c r="B157" i="15"/>
  <c r="Z156" i="15"/>
  <c r="X156" i="15"/>
  <c r="N156" i="15"/>
  <c r="L156" i="15"/>
  <c r="B156" i="15"/>
  <c r="T155" i="15"/>
  <c r="P155" i="15"/>
  <c r="H155" i="15"/>
  <c r="D155" i="15"/>
  <c r="L155" i="15" s="1"/>
  <c r="N155" i="15" s="1"/>
  <c r="B155" i="15"/>
  <c r="Z154" i="15"/>
  <c r="X154" i="15"/>
  <c r="V154" i="15"/>
  <c r="L154" i="15"/>
  <c r="N154" i="15" s="1"/>
  <c r="B154" i="15"/>
  <c r="Z153" i="15"/>
  <c r="X153" i="15"/>
  <c r="N153" i="15"/>
  <c r="L153" i="15"/>
  <c r="J153" i="15"/>
  <c r="B153" i="15"/>
  <c r="T152" i="15"/>
  <c r="P152" i="15"/>
  <c r="X152" i="15" s="1"/>
  <c r="H152" i="15"/>
  <c r="J152" i="15" s="1"/>
  <c r="D152" i="15"/>
  <c r="B152" i="15"/>
  <c r="X151" i="15"/>
  <c r="Z151" i="15" s="1"/>
  <c r="V151" i="15"/>
  <c r="L151" i="15"/>
  <c r="N151" i="15" s="1"/>
  <c r="B151" i="15"/>
  <c r="X150" i="15"/>
  <c r="T150" i="15"/>
  <c r="P150" i="15"/>
  <c r="H150" i="15"/>
  <c r="D150" i="15"/>
  <c r="L150" i="15" s="1"/>
  <c r="N150" i="15" s="1"/>
  <c r="B150" i="15"/>
  <c r="Z149" i="15"/>
  <c r="X149" i="15"/>
  <c r="L149" i="15"/>
  <c r="N149" i="15" s="1"/>
  <c r="B149" i="15"/>
  <c r="Z148" i="15"/>
  <c r="X148" i="15"/>
  <c r="L148" i="15"/>
  <c r="N148" i="15" s="1"/>
  <c r="B148" i="15"/>
  <c r="T147" i="15"/>
  <c r="P147" i="15"/>
  <c r="N147" i="15"/>
  <c r="H147" i="15"/>
  <c r="D147" i="15"/>
  <c r="L147" i="15" s="1"/>
  <c r="B147" i="15"/>
  <c r="Z146" i="15"/>
  <c r="X146" i="15"/>
  <c r="V146" i="15"/>
  <c r="L146" i="15"/>
  <c r="N146" i="15" s="1"/>
  <c r="B146" i="15"/>
  <c r="T145" i="15"/>
  <c r="P145" i="15"/>
  <c r="X145" i="15" s="1"/>
  <c r="Z145" i="15" s="1"/>
  <c r="J145" i="15"/>
  <c r="H145" i="15"/>
  <c r="D145" i="15"/>
  <c r="L145" i="15" s="1"/>
  <c r="N145" i="15" s="1"/>
  <c r="B145" i="15"/>
  <c r="Z144" i="15"/>
  <c r="X144" i="15"/>
  <c r="N144" i="15"/>
  <c r="L144" i="15"/>
  <c r="B144" i="15"/>
  <c r="Z143" i="15"/>
  <c r="X143" i="15"/>
  <c r="V143" i="15"/>
  <c r="N143" i="15"/>
  <c r="L143" i="15"/>
  <c r="B143" i="15"/>
  <c r="X142" i="15"/>
  <c r="Z142" i="15" s="1"/>
  <c r="L142" i="15"/>
  <c r="N142" i="15" s="1"/>
  <c r="J142" i="15"/>
  <c r="B142" i="15"/>
  <c r="X141" i="15"/>
  <c r="Z141" i="15" s="1"/>
  <c r="V141" i="15"/>
  <c r="N141" i="15"/>
  <c r="L141" i="15"/>
  <c r="B141" i="15"/>
  <c r="Z140" i="15"/>
  <c r="X140" i="15"/>
  <c r="N140" i="15"/>
  <c r="L140" i="15"/>
  <c r="B140" i="15"/>
  <c r="X139" i="15"/>
  <c r="Z139" i="15" s="1"/>
  <c r="V139" i="15"/>
  <c r="L139" i="15"/>
  <c r="N139" i="15" s="1"/>
  <c r="B139" i="15"/>
  <c r="X138" i="15"/>
  <c r="Z138" i="15" s="1"/>
  <c r="L138" i="15"/>
  <c r="N138" i="15" s="1"/>
  <c r="J138" i="15"/>
  <c r="B138" i="15"/>
  <c r="Z137" i="15"/>
  <c r="X137" i="15"/>
  <c r="V137" i="15"/>
  <c r="N137" i="15"/>
  <c r="L137" i="15"/>
  <c r="B137" i="15"/>
  <c r="Z136" i="15"/>
  <c r="X136" i="15"/>
  <c r="L136" i="15"/>
  <c r="N136" i="15" s="1"/>
  <c r="B136" i="15"/>
  <c r="X135" i="15"/>
  <c r="Z135" i="15" s="1"/>
  <c r="V135" i="15"/>
  <c r="L135" i="15"/>
  <c r="N135" i="15" s="1"/>
  <c r="B135" i="15"/>
  <c r="X134" i="15"/>
  <c r="T134" i="15"/>
  <c r="P134" i="15"/>
  <c r="H134" i="15"/>
  <c r="D134" i="15"/>
  <c r="L134" i="15" s="1"/>
  <c r="N134" i="15" s="1"/>
  <c r="B134" i="15"/>
  <c r="Z133" i="15"/>
  <c r="X133" i="15"/>
  <c r="L133" i="15"/>
  <c r="N133" i="15" s="1"/>
  <c r="B133" i="15"/>
  <c r="X132" i="15"/>
  <c r="Z132" i="15" s="1"/>
  <c r="N132" i="15"/>
  <c r="L132" i="15"/>
  <c r="B132" i="15"/>
  <c r="X131" i="15"/>
  <c r="Z131" i="15" s="1"/>
  <c r="N131" i="15"/>
  <c r="L131" i="15"/>
  <c r="J131" i="15"/>
  <c r="B131" i="15"/>
  <c r="Z130" i="15"/>
  <c r="X130" i="15"/>
  <c r="V130" i="15"/>
  <c r="N130" i="15"/>
  <c r="L130" i="15"/>
  <c r="J130" i="15"/>
  <c r="B130" i="15"/>
  <c r="Z129" i="15"/>
  <c r="X129" i="15"/>
  <c r="N129" i="15"/>
  <c r="L129" i="15"/>
  <c r="B129" i="15"/>
  <c r="Z128" i="15"/>
  <c r="X128" i="15"/>
  <c r="N128" i="15"/>
  <c r="L128" i="15"/>
  <c r="B128" i="15"/>
  <c r="X127" i="15"/>
  <c r="Z127" i="15" s="1"/>
  <c r="N127" i="15"/>
  <c r="L127" i="15"/>
  <c r="J127" i="15"/>
  <c r="B127" i="15"/>
  <c r="X126" i="15"/>
  <c r="Z126" i="15" s="1"/>
  <c r="V126" i="15"/>
  <c r="N126" i="15"/>
  <c r="L126" i="15"/>
  <c r="J126" i="15"/>
  <c r="B126" i="15"/>
  <c r="Z125" i="15"/>
  <c r="X125" i="15"/>
  <c r="L125" i="15"/>
  <c r="N125" i="15" s="1"/>
  <c r="B125" i="15"/>
  <c r="X124" i="15"/>
  <c r="Z124" i="15" s="1"/>
  <c r="L124" i="15"/>
  <c r="N124" i="15" s="1"/>
  <c r="B124" i="15"/>
  <c r="T123" i="15"/>
  <c r="P123" i="15"/>
  <c r="H123" i="15"/>
  <c r="D123" i="15"/>
  <c r="L123" i="15" s="1"/>
  <c r="N123" i="15" s="1"/>
  <c r="B123" i="15"/>
  <c r="T122" i="15"/>
  <c r="P122" i="15"/>
  <c r="H122" i="15"/>
  <c r="D122" i="15"/>
  <c r="L122" i="15" s="1"/>
  <c r="V120" i="15"/>
  <c r="T120" i="15"/>
  <c r="H120" i="15"/>
  <c r="Z118" i="15"/>
  <c r="X118" i="15"/>
  <c r="V118" i="15"/>
  <c r="N118" i="15"/>
  <c r="L118" i="15"/>
  <c r="B118" i="15"/>
  <c r="Z117" i="15"/>
  <c r="X117" i="15"/>
  <c r="N117" i="15"/>
  <c r="L117" i="15"/>
  <c r="J117" i="15"/>
  <c r="B117" i="15"/>
  <c r="Z116" i="15"/>
  <c r="X116" i="15"/>
  <c r="N116" i="15"/>
  <c r="L116" i="15"/>
  <c r="B116" i="15"/>
  <c r="Z115" i="15"/>
  <c r="X115" i="15"/>
  <c r="V115" i="15"/>
  <c r="N115" i="15"/>
  <c r="L115" i="15"/>
  <c r="J115" i="15"/>
  <c r="B115" i="15"/>
  <c r="Z114" i="15"/>
  <c r="X114" i="15"/>
  <c r="V114" i="15"/>
  <c r="N114" i="15"/>
  <c r="L114" i="15"/>
  <c r="B114" i="15"/>
  <c r="Z113" i="15"/>
  <c r="X113" i="15"/>
  <c r="N113" i="15"/>
  <c r="L113" i="15"/>
  <c r="J113" i="15"/>
  <c r="B113" i="15"/>
  <c r="Z112" i="15"/>
  <c r="X112" i="15"/>
  <c r="N112" i="15"/>
  <c r="L112" i="15"/>
  <c r="B112" i="15"/>
  <c r="Z111" i="15"/>
  <c r="X111" i="15"/>
  <c r="V111" i="15"/>
  <c r="N111" i="15"/>
  <c r="L111" i="15"/>
  <c r="J111" i="15"/>
  <c r="B111" i="15"/>
  <c r="Z110" i="15"/>
  <c r="X110" i="15"/>
  <c r="V110" i="15"/>
  <c r="N110" i="15"/>
  <c r="L110" i="15"/>
  <c r="B110" i="15"/>
  <c r="Z109" i="15"/>
  <c r="X109" i="15"/>
  <c r="N109" i="15"/>
  <c r="L109" i="15"/>
  <c r="J109" i="15"/>
  <c r="B109" i="15"/>
  <c r="Z108" i="15"/>
  <c r="X108" i="15"/>
  <c r="N108" i="15"/>
  <c r="L108" i="15"/>
  <c r="B108" i="15"/>
  <c r="Z107" i="15"/>
  <c r="X107" i="15"/>
  <c r="V107" i="15"/>
  <c r="N107" i="15"/>
  <c r="L107" i="15"/>
  <c r="J107" i="15"/>
  <c r="B107" i="15"/>
  <c r="Z106" i="15"/>
  <c r="X106" i="15"/>
  <c r="V106" i="15"/>
  <c r="N106" i="15"/>
  <c r="L106" i="15"/>
  <c r="B106" i="15"/>
  <c r="Z105" i="15"/>
  <c r="X105" i="15"/>
  <c r="N105" i="15"/>
  <c r="L105" i="15"/>
  <c r="J105" i="15"/>
  <c r="B105" i="15"/>
  <c r="Z104" i="15"/>
  <c r="X104" i="15"/>
  <c r="N104" i="15"/>
  <c r="L104" i="15"/>
  <c r="B104" i="15"/>
  <c r="Z103" i="15"/>
  <c r="X103" i="15"/>
  <c r="V103" i="15"/>
  <c r="N103" i="15"/>
  <c r="L103" i="15"/>
  <c r="J103" i="15"/>
  <c r="B103" i="15"/>
  <c r="Z102" i="15"/>
  <c r="X102" i="15"/>
  <c r="V102" i="15"/>
  <c r="N102" i="15"/>
  <c r="L102" i="15"/>
  <c r="B102" i="15"/>
  <c r="Z101" i="15"/>
  <c r="X101" i="15"/>
  <c r="N101" i="15"/>
  <c r="L101" i="15"/>
  <c r="J101" i="15"/>
  <c r="B101" i="15"/>
  <c r="Z100" i="15"/>
  <c r="X100" i="15"/>
  <c r="N100" i="15"/>
  <c r="L100" i="15"/>
  <c r="B100" i="15"/>
  <c r="Z99" i="15"/>
  <c r="X99" i="15"/>
  <c r="V99" i="15"/>
  <c r="N99" i="15"/>
  <c r="L99" i="15"/>
  <c r="J99" i="15"/>
  <c r="B99" i="15"/>
  <c r="Z98" i="15"/>
  <c r="X98" i="15"/>
  <c r="V98" i="15"/>
  <c r="N98" i="15"/>
  <c r="L98" i="15"/>
  <c r="B98" i="15"/>
  <c r="Z97" i="15"/>
  <c r="X97" i="15"/>
  <c r="N97" i="15"/>
  <c r="L97" i="15"/>
  <c r="J97" i="15"/>
  <c r="B97" i="15"/>
  <c r="Z96" i="15"/>
  <c r="X96" i="15"/>
  <c r="N96" i="15"/>
  <c r="L96" i="15"/>
  <c r="B96" i="15"/>
  <c r="Z95" i="15"/>
  <c r="X95" i="15"/>
  <c r="V95" i="15"/>
  <c r="N95" i="15"/>
  <c r="L95" i="15"/>
  <c r="J95" i="15"/>
  <c r="B95" i="15"/>
  <c r="Z94" i="15"/>
  <c r="X94" i="15"/>
  <c r="V94" i="15"/>
  <c r="N94" i="15"/>
  <c r="L94" i="15"/>
  <c r="B94" i="15"/>
  <c r="Z93" i="15"/>
  <c r="X93" i="15"/>
  <c r="N93" i="15"/>
  <c r="L93" i="15"/>
  <c r="J93" i="15"/>
  <c r="B93" i="15"/>
  <c r="Z92" i="15"/>
  <c r="X92" i="15"/>
  <c r="N92" i="15"/>
  <c r="L92" i="15"/>
  <c r="B92" i="15"/>
  <c r="Z91" i="15"/>
  <c r="X91" i="15"/>
  <c r="V91" i="15"/>
  <c r="N91" i="15"/>
  <c r="L91" i="15"/>
  <c r="J91" i="15"/>
  <c r="B91" i="15"/>
  <c r="Z90" i="15"/>
  <c r="X90" i="15"/>
  <c r="V90" i="15"/>
  <c r="N90" i="15"/>
  <c r="L90" i="15"/>
  <c r="B90" i="15"/>
  <c r="Z89" i="15"/>
  <c r="X89" i="15"/>
  <c r="N89" i="15"/>
  <c r="L89" i="15"/>
  <c r="J89" i="15"/>
  <c r="B89" i="15"/>
  <c r="Z88" i="15"/>
  <c r="X88" i="15"/>
  <c r="N88" i="15"/>
  <c r="L88" i="15"/>
  <c r="B88" i="15"/>
  <c r="Z87" i="15"/>
  <c r="X87" i="15"/>
  <c r="V87" i="15"/>
  <c r="N87" i="15"/>
  <c r="L87" i="15"/>
  <c r="J87" i="15"/>
  <c r="B87" i="15"/>
  <c r="Z86" i="15"/>
  <c r="X86" i="15"/>
  <c r="V86" i="15"/>
  <c r="N86" i="15"/>
  <c r="L86" i="15"/>
  <c r="B86" i="15"/>
  <c r="Z85" i="15"/>
  <c r="X85" i="15"/>
  <c r="N85" i="15"/>
  <c r="L85" i="15"/>
  <c r="J85" i="15"/>
  <c r="B85" i="15"/>
  <c r="Z84" i="15"/>
  <c r="X84" i="15"/>
  <c r="N84" i="15"/>
  <c r="L84" i="15"/>
  <c r="B84" i="15"/>
  <c r="Z83" i="15"/>
  <c r="X83" i="15"/>
  <c r="V83" i="15"/>
  <c r="N83" i="15"/>
  <c r="L83" i="15"/>
  <c r="J83" i="15"/>
  <c r="B83" i="15"/>
  <c r="Z82" i="15"/>
  <c r="X82" i="15"/>
  <c r="V82" i="15"/>
  <c r="N82" i="15"/>
  <c r="L82" i="15"/>
  <c r="B82" i="15"/>
  <c r="Z81" i="15"/>
  <c r="X81" i="15"/>
  <c r="N81" i="15"/>
  <c r="L81" i="15"/>
  <c r="J81" i="15"/>
  <c r="B81" i="15"/>
  <c r="X80" i="15"/>
  <c r="Z80" i="15" s="1"/>
  <c r="N80" i="15"/>
  <c r="L80" i="15"/>
  <c r="B80" i="15"/>
  <c r="Z79" i="15"/>
  <c r="V79" i="15"/>
  <c r="T79" i="15"/>
  <c r="P79" i="15"/>
  <c r="X79" i="15" s="1"/>
  <c r="H79" i="15"/>
  <c r="D79" i="15"/>
  <c r="L79" i="15" s="1"/>
  <c r="N79" i="15" s="1"/>
  <c r="Z77" i="15"/>
  <c r="P77" i="15"/>
  <c r="X77" i="15" s="1"/>
  <c r="N77" i="15"/>
  <c r="D77" i="15"/>
  <c r="L77" i="15" s="1"/>
  <c r="B77" i="15"/>
  <c r="Z76" i="15"/>
  <c r="X76" i="15"/>
  <c r="P76" i="15"/>
  <c r="N76" i="15"/>
  <c r="D76" i="15"/>
  <c r="L76" i="15" s="1"/>
  <c r="B76" i="15"/>
  <c r="Z75" i="15"/>
  <c r="X75" i="15"/>
  <c r="P75" i="15"/>
  <c r="N75" i="15"/>
  <c r="L75" i="15"/>
  <c r="D75" i="15"/>
  <c r="B75" i="15"/>
  <c r="Z74" i="15"/>
  <c r="P74" i="15"/>
  <c r="X74" i="15" s="1"/>
  <c r="N74" i="15"/>
  <c r="D74" i="15"/>
  <c r="L74" i="15" s="1"/>
  <c r="B74" i="15"/>
  <c r="Z73" i="15"/>
  <c r="P73" i="15"/>
  <c r="X73" i="15" s="1"/>
  <c r="N73" i="15"/>
  <c r="L73" i="15"/>
  <c r="D73" i="15"/>
  <c r="B73" i="15"/>
  <c r="Z72" i="15"/>
  <c r="X72" i="15"/>
  <c r="P72" i="15"/>
  <c r="N72" i="15"/>
  <c r="L72" i="15"/>
  <c r="D72" i="15"/>
  <c r="B72" i="15"/>
  <c r="Z71" i="15"/>
  <c r="X71" i="15"/>
  <c r="P71" i="15"/>
  <c r="N71" i="15"/>
  <c r="D71" i="15"/>
  <c r="L71" i="15" s="1"/>
  <c r="B71" i="15"/>
  <c r="Z70" i="15"/>
  <c r="X70" i="15"/>
  <c r="P70" i="15"/>
  <c r="N70" i="15"/>
  <c r="D70" i="15"/>
  <c r="L70" i="15" s="1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X64" i="15"/>
  <c r="P64" i="15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D62" i="15"/>
  <c r="L62" i="15" s="1"/>
  <c r="B62" i="15"/>
  <c r="Z61" i="15"/>
  <c r="P61" i="15"/>
  <c r="X61" i="15" s="1"/>
  <c r="N61" i="15"/>
  <c r="L61" i="15"/>
  <c r="D61" i="15"/>
  <c r="B61" i="15"/>
  <c r="Z60" i="15"/>
  <c r="X60" i="15"/>
  <c r="P60" i="15"/>
  <c r="N60" i="15"/>
  <c r="L60" i="15"/>
  <c r="D60" i="15"/>
  <c r="B60" i="15"/>
  <c r="Z59" i="15"/>
  <c r="X59" i="15"/>
  <c r="P59" i="15"/>
  <c r="N59" i="15"/>
  <c r="D59" i="15"/>
  <c r="L59" i="15" s="1"/>
  <c r="B59" i="15"/>
  <c r="Z58" i="15"/>
  <c r="X58" i="15"/>
  <c r="P58" i="15"/>
  <c r="N58" i="15"/>
  <c r="D58" i="15"/>
  <c r="L58" i="15" s="1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X55" i="15"/>
  <c r="P55" i="15"/>
  <c r="N55" i="15"/>
  <c r="L55" i="15"/>
  <c r="D55" i="15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X52" i="15"/>
  <c r="P52" i="15"/>
  <c r="N52" i="15"/>
  <c r="D52" i="15"/>
  <c r="L52" i="15" s="1"/>
  <c r="B52" i="15"/>
  <c r="Z51" i="15"/>
  <c r="X51" i="15"/>
  <c r="P51" i="15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P49" i="15"/>
  <c r="X49" i="15" s="1"/>
  <c r="N49" i="15"/>
  <c r="L49" i="15"/>
  <c r="D49" i="15"/>
  <c r="B49" i="15"/>
  <c r="Z48" i="15"/>
  <c r="X48" i="15"/>
  <c r="P48" i="15"/>
  <c r="N48" i="15"/>
  <c r="L48" i="15"/>
  <c r="D48" i="15"/>
  <c r="B48" i="15"/>
  <c r="Z47" i="15"/>
  <c r="X47" i="15"/>
  <c r="P47" i="15"/>
  <c r="N47" i="15"/>
  <c r="D47" i="15"/>
  <c r="L47" i="15" s="1"/>
  <c r="B47" i="15"/>
  <c r="Z46" i="15"/>
  <c r="X46" i="15"/>
  <c r="P46" i="15"/>
  <c r="N46" i="15"/>
  <c r="D46" i="15"/>
  <c r="L46" i="15" s="1"/>
  <c r="B46" i="15"/>
  <c r="Z45" i="15"/>
  <c r="X45" i="15"/>
  <c r="P45" i="15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X42" i="15"/>
  <c r="P42" i="15"/>
  <c r="N42" i="15"/>
  <c r="L42" i="15"/>
  <c r="D42" i="15"/>
  <c r="B42" i="15"/>
  <c r="Z41" i="15"/>
  <c r="P41" i="15"/>
  <c r="X41" i="15" s="1"/>
  <c r="N41" i="15"/>
  <c r="L41" i="15"/>
  <c r="D41" i="15"/>
  <c r="B41" i="15"/>
  <c r="Z40" i="15"/>
  <c r="X40" i="15"/>
  <c r="P40" i="15"/>
  <c r="N40" i="15"/>
  <c r="D40" i="15"/>
  <c r="L40" i="15" s="1"/>
  <c r="B40" i="15"/>
  <c r="Z39" i="15"/>
  <c r="P39" i="15"/>
  <c r="X39" i="15" s="1"/>
  <c r="N39" i="15"/>
  <c r="L39" i="15"/>
  <c r="D39" i="15"/>
  <c r="B39" i="15"/>
  <c r="Z38" i="15"/>
  <c r="P38" i="15"/>
  <c r="X38" i="15" s="1"/>
  <c r="N38" i="15"/>
  <c r="D38" i="15"/>
  <c r="L38" i="15" s="1"/>
  <c r="B38" i="15"/>
  <c r="Z37" i="15"/>
  <c r="P37" i="15"/>
  <c r="X37" i="15" s="1"/>
  <c r="N37" i="15"/>
  <c r="L37" i="15"/>
  <c r="D37" i="15"/>
  <c r="B37" i="15"/>
  <c r="Z36" i="15"/>
  <c r="X36" i="15"/>
  <c r="P36" i="15"/>
  <c r="N36" i="15"/>
  <c r="D36" i="15"/>
  <c r="L36" i="15" s="1"/>
  <c r="B36" i="15"/>
  <c r="Z35" i="15"/>
  <c r="X35" i="15"/>
  <c r="P35" i="15"/>
  <c r="D35" i="15"/>
  <c r="L35" i="15" s="1"/>
  <c r="N35" i="15" s="1"/>
  <c r="B35" i="15"/>
  <c r="Z34" i="15"/>
  <c r="X34" i="15"/>
  <c r="P34" i="15"/>
  <c r="N34" i="15"/>
  <c r="D34" i="15"/>
  <c r="L34" i="15" s="1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L29" i="15"/>
  <c r="D29" i="15"/>
  <c r="B29" i="15"/>
  <c r="Z28" i="15"/>
  <c r="X28" i="15"/>
  <c r="P28" i="15"/>
  <c r="N28" i="15"/>
  <c r="L28" i="15"/>
  <c r="D28" i="15"/>
  <c r="B28" i="15"/>
  <c r="Z27" i="15"/>
  <c r="P27" i="15"/>
  <c r="X27" i="15" s="1"/>
  <c r="N27" i="15"/>
  <c r="L27" i="15"/>
  <c r="D27" i="15"/>
  <c r="B27" i="15"/>
  <c r="Z26" i="15"/>
  <c r="P26" i="15"/>
  <c r="X26" i="15" s="1"/>
  <c r="N26" i="15"/>
  <c r="D26" i="15"/>
  <c r="L26" i="15" s="1"/>
  <c r="B26" i="15"/>
  <c r="Z25" i="15"/>
  <c r="P25" i="15"/>
  <c r="X25" i="15" s="1"/>
  <c r="N25" i="15"/>
  <c r="L25" i="15"/>
  <c r="D25" i="15"/>
  <c r="B25" i="15"/>
  <c r="Z24" i="15"/>
  <c r="X24" i="15"/>
  <c r="P24" i="15"/>
  <c r="N24" i="15"/>
  <c r="D24" i="15"/>
  <c r="L24" i="15" s="1"/>
  <c r="B24" i="15"/>
  <c r="Z23" i="15"/>
  <c r="X23" i="15"/>
  <c r="P23" i="15"/>
  <c r="N23" i="15"/>
  <c r="D23" i="15"/>
  <c r="L23" i="15" s="1"/>
  <c r="B23" i="15"/>
  <c r="Z22" i="15"/>
  <c r="X22" i="15"/>
  <c r="P22" i="15"/>
  <c r="N22" i="15"/>
  <c r="D22" i="15"/>
  <c r="L22" i="15" s="1"/>
  <c r="B22" i="15"/>
  <c r="Z21" i="15"/>
  <c r="X21" i="15"/>
  <c r="P21" i="15"/>
  <c r="N21" i="15"/>
  <c r="L21" i="15"/>
  <c r="D21" i="15"/>
  <c r="B21" i="15"/>
  <c r="Z20" i="15"/>
  <c r="X20" i="15"/>
  <c r="P20" i="15"/>
  <c r="N20" i="15"/>
  <c r="L20" i="15"/>
  <c r="D20" i="15"/>
  <c r="B20" i="15"/>
  <c r="Z19" i="15"/>
  <c r="P19" i="15"/>
  <c r="X19" i="15" s="1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L17" i="15"/>
  <c r="D17" i="15"/>
  <c r="B17" i="15"/>
  <c r="Z16" i="15"/>
  <c r="X16" i="15"/>
  <c r="P16" i="15"/>
  <c r="N16" i="15"/>
  <c r="L16" i="15"/>
  <c r="D16" i="15"/>
  <c r="B16" i="15"/>
  <c r="Z15" i="15"/>
  <c r="P15" i="15"/>
  <c r="X15" i="15" s="1"/>
  <c r="N15" i="15"/>
  <c r="D15" i="15"/>
  <c r="B15" i="15"/>
  <c r="Z14" i="15"/>
  <c r="P14" i="15"/>
  <c r="X14" i="15" s="1"/>
  <c r="N14" i="15"/>
  <c r="D14" i="15"/>
  <c r="L14" i="15" s="1"/>
  <c r="B14" i="15"/>
  <c r="P13" i="15"/>
  <c r="X13" i="15" s="1"/>
  <c r="Z13" i="15" s="1"/>
  <c r="N13" i="15"/>
  <c r="L13" i="15"/>
  <c r="D13" i="15"/>
  <c r="B13" i="15"/>
  <c r="T12" i="15"/>
  <c r="V198" i="15" s="1"/>
  <c r="H12" i="15"/>
  <c r="J212" i="15" s="1"/>
  <c r="D4" i="15"/>
  <c r="X236" i="12"/>
  <c r="Z236" i="12" s="1"/>
  <c r="N236" i="12"/>
  <c r="L236" i="12"/>
  <c r="Z232" i="12"/>
  <c r="X232" i="12"/>
  <c r="P232" i="12"/>
  <c r="N232" i="12"/>
  <c r="L232" i="12"/>
  <c r="D232" i="12"/>
  <c r="B232" i="12"/>
  <c r="Z231" i="12"/>
  <c r="X231" i="12"/>
  <c r="P231" i="12"/>
  <c r="N231" i="12"/>
  <c r="L231" i="12"/>
  <c r="D231" i="12"/>
  <c r="B231" i="12"/>
  <c r="X230" i="12"/>
  <c r="Z230" i="12" s="1"/>
  <c r="V230" i="12"/>
  <c r="P230" i="12"/>
  <c r="N230" i="12"/>
  <c r="L230" i="12"/>
  <c r="D230" i="12"/>
  <c r="B230" i="12"/>
  <c r="P229" i="12"/>
  <c r="X229" i="12" s="1"/>
  <c r="Z229" i="12" s="1"/>
  <c r="D229" i="12"/>
  <c r="B229" i="12"/>
  <c r="T228" i="12"/>
  <c r="P228" i="12"/>
  <c r="X228" i="12" s="1"/>
  <c r="Z228" i="12" s="1"/>
  <c r="H228" i="12"/>
  <c r="Z226" i="12"/>
  <c r="X226" i="12"/>
  <c r="L226" i="12"/>
  <c r="N226" i="12" s="1"/>
  <c r="B226" i="12"/>
  <c r="T225" i="12"/>
  <c r="X225" i="12" s="1"/>
  <c r="Z225" i="12" s="1"/>
  <c r="P225" i="12"/>
  <c r="L225" i="12"/>
  <c r="N225" i="12" s="1"/>
  <c r="H225" i="12"/>
  <c r="D225" i="12"/>
  <c r="B225" i="12"/>
  <c r="Z224" i="12"/>
  <c r="X224" i="12"/>
  <c r="V224" i="12"/>
  <c r="L224" i="12"/>
  <c r="N224" i="12" s="1"/>
  <c r="B224" i="12"/>
  <c r="X223" i="12"/>
  <c r="Z223" i="12" s="1"/>
  <c r="L223" i="12"/>
  <c r="N223" i="12" s="1"/>
  <c r="B223" i="12"/>
  <c r="X222" i="12"/>
  <c r="Z222" i="12" s="1"/>
  <c r="N222" i="12"/>
  <c r="L222" i="12"/>
  <c r="B222" i="12"/>
  <c r="T221" i="12"/>
  <c r="P221" i="12"/>
  <c r="J221" i="12"/>
  <c r="H221" i="12"/>
  <c r="D221" i="12"/>
  <c r="B221" i="12"/>
  <c r="X220" i="12"/>
  <c r="Z220" i="12" s="1"/>
  <c r="V220" i="12"/>
  <c r="N220" i="12"/>
  <c r="L220" i="12"/>
  <c r="B220" i="12"/>
  <c r="T219" i="12"/>
  <c r="P219" i="12"/>
  <c r="X219" i="12" s="1"/>
  <c r="N219" i="12"/>
  <c r="H219" i="12"/>
  <c r="D219" i="12"/>
  <c r="L219" i="12" s="1"/>
  <c r="B219" i="12"/>
  <c r="Z218" i="12"/>
  <c r="X218" i="12"/>
  <c r="L218" i="12"/>
  <c r="N218" i="12" s="1"/>
  <c r="B218" i="12"/>
  <c r="Z217" i="12"/>
  <c r="X217" i="12"/>
  <c r="N217" i="12"/>
  <c r="L217" i="12"/>
  <c r="B217" i="12"/>
  <c r="T216" i="12"/>
  <c r="P216" i="12"/>
  <c r="X216" i="12" s="1"/>
  <c r="N216" i="12"/>
  <c r="H216" i="12"/>
  <c r="D216" i="12"/>
  <c r="L216" i="12" s="1"/>
  <c r="B216" i="12"/>
  <c r="X215" i="12"/>
  <c r="Z215" i="12" s="1"/>
  <c r="L215" i="12"/>
  <c r="N215" i="12" s="1"/>
  <c r="B215" i="12"/>
  <c r="Z214" i="12"/>
  <c r="X214" i="12"/>
  <c r="L214" i="12"/>
  <c r="N214" i="12" s="1"/>
  <c r="B214" i="12"/>
  <c r="X213" i="12"/>
  <c r="Z213" i="12" s="1"/>
  <c r="N213" i="12"/>
  <c r="L213" i="12"/>
  <c r="B213" i="12"/>
  <c r="Z212" i="12"/>
  <c r="X212" i="12"/>
  <c r="N212" i="12"/>
  <c r="L212" i="12"/>
  <c r="B212" i="12"/>
  <c r="X211" i="12"/>
  <c r="Z211" i="12" s="1"/>
  <c r="L211" i="12"/>
  <c r="N211" i="12" s="1"/>
  <c r="B211" i="12"/>
  <c r="X210" i="12"/>
  <c r="Z210" i="12" s="1"/>
  <c r="L210" i="12"/>
  <c r="N210" i="12" s="1"/>
  <c r="J210" i="12"/>
  <c r="B210" i="12"/>
  <c r="X209" i="12"/>
  <c r="Z209" i="12" s="1"/>
  <c r="N209" i="12"/>
  <c r="L209" i="12"/>
  <c r="B209" i="12"/>
  <c r="Z208" i="12"/>
  <c r="X208" i="12"/>
  <c r="L208" i="12"/>
  <c r="N208" i="12" s="1"/>
  <c r="B208" i="12"/>
  <c r="X207" i="12"/>
  <c r="Z207" i="12" s="1"/>
  <c r="L207" i="12"/>
  <c r="N207" i="12" s="1"/>
  <c r="B207" i="12"/>
  <c r="X206" i="12"/>
  <c r="Z206" i="12" s="1"/>
  <c r="T206" i="12"/>
  <c r="P206" i="12"/>
  <c r="J206" i="12"/>
  <c r="H206" i="12"/>
  <c r="D206" i="12"/>
  <c r="L206" i="12" s="1"/>
  <c r="N206" i="12" s="1"/>
  <c r="B206" i="12"/>
  <c r="Z205" i="12"/>
  <c r="X205" i="12"/>
  <c r="L205" i="12"/>
  <c r="N205" i="12" s="1"/>
  <c r="B205" i="12"/>
  <c r="X204" i="12"/>
  <c r="Z204" i="12" s="1"/>
  <c r="N204" i="12"/>
  <c r="L204" i="12"/>
  <c r="B204" i="12"/>
  <c r="T203" i="12"/>
  <c r="P203" i="12"/>
  <c r="X203" i="12" s="1"/>
  <c r="N203" i="12"/>
  <c r="H203" i="12"/>
  <c r="D203" i="12"/>
  <c r="L203" i="12" s="1"/>
  <c r="B203" i="12"/>
  <c r="Z202" i="12"/>
  <c r="X202" i="12"/>
  <c r="N202" i="12"/>
  <c r="L202" i="12"/>
  <c r="B202" i="12"/>
  <c r="X201" i="12"/>
  <c r="Z201" i="12" s="1"/>
  <c r="L201" i="12"/>
  <c r="N201" i="12" s="1"/>
  <c r="B201" i="12"/>
  <c r="Z200" i="12"/>
  <c r="X200" i="12"/>
  <c r="N200" i="12"/>
  <c r="L200" i="12"/>
  <c r="B200" i="12"/>
  <c r="Z199" i="12"/>
  <c r="X199" i="12"/>
  <c r="N199" i="12"/>
  <c r="L199" i="12"/>
  <c r="J199" i="12"/>
  <c r="B199" i="12"/>
  <c r="Z198" i="12"/>
  <c r="X198" i="12"/>
  <c r="L198" i="12"/>
  <c r="N198" i="12" s="1"/>
  <c r="B198" i="12"/>
  <c r="Z197" i="12"/>
  <c r="T197" i="12"/>
  <c r="X197" i="12" s="1"/>
  <c r="P197" i="12"/>
  <c r="L197" i="12"/>
  <c r="H197" i="12"/>
  <c r="N197" i="12" s="1"/>
  <c r="D197" i="12"/>
  <c r="B197" i="12"/>
  <c r="Z196" i="12"/>
  <c r="X196" i="12"/>
  <c r="V196" i="12"/>
  <c r="N196" i="12"/>
  <c r="L196" i="12"/>
  <c r="J196" i="12"/>
  <c r="B196" i="12"/>
  <c r="X195" i="12"/>
  <c r="Z195" i="12" s="1"/>
  <c r="L195" i="12"/>
  <c r="N195" i="12" s="1"/>
  <c r="B195" i="12"/>
  <c r="X194" i="12"/>
  <c r="Z194" i="12" s="1"/>
  <c r="L194" i="12"/>
  <c r="N194" i="12" s="1"/>
  <c r="B194" i="12"/>
  <c r="X193" i="12"/>
  <c r="Z193" i="12" s="1"/>
  <c r="N193" i="12"/>
  <c r="L193" i="12"/>
  <c r="B193" i="12"/>
  <c r="T192" i="12"/>
  <c r="P192" i="12"/>
  <c r="X192" i="12" s="1"/>
  <c r="Z192" i="12" s="1"/>
  <c r="H192" i="12"/>
  <c r="D192" i="12"/>
  <c r="L192" i="12" s="1"/>
  <c r="N192" i="12" s="1"/>
  <c r="B192" i="12"/>
  <c r="X191" i="12"/>
  <c r="Z191" i="12" s="1"/>
  <c r="L191" i="12"/>
  <c r="N191" i="12" s="1"/>
  <c r="B191" i="12"/>
  <c r="X190" i="12"/>
  <c r="Z190" i="12" s="1"/>
  <c r="N190" i="12"/>
  <c r="L190" i="12"/>
  <c r="B190" i="12"/>
  <c r="Z189" i="12"/>
  <c r="X189" i="12"/>
  <c r="N189" i="12"/>
  <c r="L189" i="12"/>
  <c r="B189" i="12"/>
  <c r="X188" i="12"/>
  <c r="Z188" i="12" s="1"/>
  <c r="N188" i="12"/>
  <c r="L188" i="12"/>
  <c r="B188" i="12"/>
  <c r="X187" i="12"/>
  <c r="T187" i="12"/>
  <c r="Z187" i="12" s="1"/>
  <c r="P187" i="12"/>
  <c r="N187" i="12"/>
  <c r="H187" i="12"/>
  <c r="D187" i="12"/>
  <c r="L187" i="12" s="1"/>
  <c r="B187" i="12"/>
  <c r="Z186" i="12"/>
  <c r="X186" i="12"/>
  <c r="L186" i="12"/>
  <c r="N186" i="12" s="1"/>
  <c r="B186" i="12"/>
  <c r="T185" i="12"/>
  <c r="P185" i="12"/>
  <c r="L185" i="12"/>
  <c r="H185" i="12"/>
  <c r="D185" i="12"/>
  <c r="B185" i="12"/>
  <c r="Z184" i="12"/>
  <c r="X184" i="12"/>
  <c r="N184" i="12"/>
  <c r="L184" i="12"/>
  <c r="J184" i="12"/>
  <c r="B184" i="12"/>
  <c r="T183" i="12"/>
  <c r="P183" i="12"/>
  <c r="X183" i="12" s="1"/>
  <c r="H183" i="12"/>
  <c r="N183" i="12" s="1"/>
  <c r="D183" i="12"/>
  <c r="B183" i="12"/>
  <c r="Z182" i="12"/>
  <c r="X182" i="12"/>
  <c r="N182" i="12"/>
  <c r="L182" i="12"/>
  <c r="B182" i="12"/>
  <c r="Z181" i="12"/>
  <c r="X181" i="12"/>
  <c r="N181" i="12"/>
  <c r="L181" i="12"/>
  <c r="B181" i="12"/>
  <c r="T180" i="12"/>
  <c r="P180" i="12"/>
  <c r="X180" i="12" s="1"/>
  <c r="L180" i="12"/>
  <c r="N180" i="12" s="1"/>
  <c r="H180" i="12"/>
  <c r="D180" i="12"/>
  <c r="B180" i="12"/>
  <c r="X179" i="12"/>
  <c r="Z179" i="12" s="1"/>
  <c r="L179" i="12"/>
  <c r="N179" i="12" s="1"/>
  <c r="J179" i="12"/>
  <c r="B179" i="12"/>
  <c r="Z178" i="12"/>
  <c r="T178" i="12"/>
  <c r="P178" i="12"/>
  <c r="X178" i="12" s="1"/>
  <c r="H178" i="12"/>
  <c r="D178" i="12"/>
  <c r="B178" i="12"/>
  <c r="Z177" i="12"/>
  <c r="X177" i="12"/>
  <c r="N177" i="12"/>
  <c r="L177" i="12"/>
  <c r="B177" i="12"/>
  <c r="Z176" i="12"/>
  <c r="X176" i="12"/>
  <c r="V176" i="12"/>
  <c r="T176" i="12"/>
  <c r="P176" i="12"/>
  <c r="N176" i="12"/>
  <c r="L176" i="12"/>
  <c r="H176" i="12"/>
  <c r="D176" i="12"/>
  <c r="B176" i="12"/>
  <c r="X175" i="12"/>
  <c r="Z175" i="12" s="1"/>
  <c r="L175" i="12"/>
  <c r="N175" i="12" s="1"/>
  <c r="B175" i="12"/>
  <c r="X174" i="12"/>
  <c r="Z174" i="12" s="1"/>
  <c r="V174" i="12"/>
  <c r="N174" i="12"/>
  <c r="L174" i="12"/>
  <c r="B174" i="12"/>
  <c r="Z173" i="12"/>
  <c r="X173" i="12"/>
  <c r="N173" i="12"/>
  <c r="L173" i="12"/>
  <c r="B173" i="12"/>
  <c r="T172" i="12"/>
  <c r="P172" i="12"/>
  <c r="X172" i="12" s="1"/>
  <c r="L172" i="12"/>
  <c r="J172" i="12"/>
  <c r="H172" i="12"/>
  <c r="N172" i="12" s="1"/>
  <c r="D172" i="12"/>
  <c r="B172" i="12"/>
  <c r="X171" i="12"/>
  <c r="Z171" i="12" s="1"/>
  <c r="N171" i="12"/>
  <c r="L171" i="12"/>
  <c r="J171" i="12"/>
  <c r="B171" i="12"/>
  <c r="Z170" i="12"/>
  <c r="X170" i="12"/>
  <c r="N170" i="12"/>
  <c r="L170" i="12"/>
  <c r="B170" i="12"/>
  <c r="Z169" i="12"/>
  <c r="X169" i="12"/>
  <c r="T169" i="12"/>
  <c r="P169" i="12"/>
  <c r="L169" i="12"/>
  <c r="J169" i="12"/>
  <c r="H169" i="12"/>
  <c r="D169" i="12"/>
  <c r="B169" i="12"/>
  <c r="Z168" i="12"/>
  <c r="X168" i="12"/>
  <c r="L168" i="12"/>
  <c r="N168" i="12" s="1"/>
  <c r="B168" i="12"/>
  <c r="T167" i="12"/>
  <c r="V167" i="12" s="1"/>
  <c r="P167" i="12"/>
  <c r="H167" i="12"/>
  <c r="D167" i="12"/>
  <c r="B167" i="12"/>
  <c r="X166" i="12"/>
  <c r="Z166" i="12" s="1"/>
  <c r="N166" i="12"/>
  <c r="L166" i="12"/>
  <c r="B166" i="12"/>
  <c r="X165" i="12"/>
  <c r="Z165" i="12" s="1"/>
  <c r="T165" i="12"/>
  <c r="P165" i="12"/>
  <c r="H165" i="12"/>
  <c r="D165" i="12"/>
  <c r="L165" i="12" s="1"/>
  <c r="N165" i="12" s="1"/>
  <c r="B165" i="12"/>
  <c r="Z164" i="12"/>
  <c r="X164" i="12"/>
  <c r="N164" i="12"/>
  <c r="L164" i="12"/>
  <c r="B164" i="12"/>
  <c r="Z163" i="12"/>
  <c r="X163" i="12"/>
  <c r="N163" i="12"/>
  <c r="L163" i="12"/>
  <c r="B163" i="12"/>
  <c r="Z162" i="12"/>
  <c r="T162" i="12"/>
  <c r="P162" i="12"/>
  <c r="X162" i="12" s="1"/>
  <c r="N162" i="12"/>
  <c r="H162" i="12"/>
  <c r="D162" i="12"/>
  <c r="L162" i="12" s="1"/>
  <c r="B162" i="12"/>
  <c r="Z161" i="12"/>
  <c r="X161" i="12"/>
  <c r="N161" i="12"/>
  <c r="L161" i="12"/>
  <c r="B161" i="12"/>
  <c r="X160" i="12"/>
  <c r="Z160" i="12" s="1"/>
  <c r="N160" i="12"/>
  <c r="L160" i="12"/>
  <c r="B160" i="12"/>
  <c r="V159" i="12"/>
  <c r="T159" i="12"/>
  <c r="P159" i="12"/>
  <c r="H159" i="12"/>
  <c r="D159" i="12"/>
  <c r="L159" i="12" s="1"/>
  <c r="B159" i="12"/>
  <c r="X158" i="12"/>
  <c r="Z158" i="12" s="1"/>
  <c r="N158" i="12"/>
  <c r="L158" i="12"/>
  <c r="B158" i="12"/>
  <c r="Z157" i="12"/>
  <c r="X157" i="12"/>
  <c r="N157" i="12"/>
  <c r="L157" i="12"/>
  <c r="B157" i="12"/>
  <c r="T156" i="12"/>
  <c r="P156" i="12"/>
  <c r="X156" i="12" s="1"/>
  <c r="Z156" i="12" s="1"/>
  <c r="H156" i="12"/>
  <c r="D156" i="12"/>
  <c r="L156" i="12" s="1"/>
  <c r="N156" i="12" s="1"/>
  <c r="B156" i="12"/>
  <c r="X155" i="12"/>
  <c r="Z155" i="12" s="1"/>
  <c r="L155" i="12"/>
  <c r="N155" i="12" s="1"/>
  <c r="B155" i="12"/>
  <c r="X154" i="12"/>
  <c r="V154" i="12"/>
  <c r="T154" i="12"/>
  <c r="P154" i="12"/>
  <c r="J154" i="12"/>
  <c r="H154" i="12"/>
  <c r="L154" i="12" s="1"/>
  <c r="N154" i="12" s="1"/>
  <c r="D154" i="12"/>
  <c r="B154" i="12"/>
  <c r="X153" i="12"/>
  <c r="Z153" i="12" s="1"/>
  <c r="L153" i="12"/>
  <c r="N153" i="12" s="1"/>
  <c r="B153" i="12"/>
  <c r="Z152" i="12"/>
  <c r="X152" i="12"/>
  <c r="N152" i="12"/>
  <c r="L152" i="12"/>
  <c r="J152" i="12"/>
  <c r="B152" i="12"/>
  <c r="X151" i="12"/>
  <c r="Z151" i="12" s="1"/>
  <c r="T151" i="12"/>
  <c r="P151" i="12"/>
  <c r="N151" i="12"/>
  <c r="L151" i="12"/>
  <c r="H151" i="12"/>
  <c r="D151" i="12"/>
  <c r="B151" i="12"/>
  <c r="Z150" i="12"/>
  <c r="X150" i="12"/>
  <c r="L150" i="12"/>
  <c r="N150" i="12" s="1"/>
  <c r="J150" i="12"/>
  <c r="B150" i="12"/>
  <c r="T149" i="12"/>
  <c r="P149" i="12"/>
  <c r="J149" i="12"/>
  <c r="H149" i="12"/>
  <c r="D149" i="12"/>
  <c r="L149" i="12" s="1"/>
  <c r="B149" i="12"/>
  <c r="Z148" i="12"/>
  <c r="X148" i="12"/>
  <c r="N148" i="12"/>
  <c r="L148" i="12"/>
  <c r="B148" i="12"/>
  <c r="Z147" i="12"/>
  <c r="X147" i="12"/>
  <c r="N147" i="12"/>
  <c r="L147" i="12"/>
  <c r="B147" i="12"/>
  <c r="X146" i="12"/>
  <c r="Z146" i="12" s="1"/>
  <c r="V146" i="12"/>
  <c r="N146" i="12"/>
  <c r="L146" i="12"/>
  <c r="J146" i="12"/>
  <c r="B146" i="12"/>
  <c r="Z145" i="12"/>
  <c r="X145" i="12"/>
  <c r="N145" i="12"/>
  <c r="L145" i="12"/>
  <c r="B145" i="12"/>
  <c r="Z144" i="12"/>
  <c r="X144" i="12"/>
  <c r="N144" i="12"/>
  <c r="L144" i="12"/>
  <c r="B144" i="12"/>
  <c r="X143" i="12"/>
  <c r="Z143" i="12" s="1"/>
  <c r="L143" i="12"/>
  <c r="N143" i="12" s="1"/>
  <c r="B143" i="12"/>
  <c r="X142" i="12"/>
  <c r="Z142" i="12" s="1"/>
  <c r="V142" i="12"/>
  <c r="N142" i="12"/>
  <c r="L142" i="12"/>
  <c r="J142" i="12"/>
  <c r="B142" i="12"/>
  <c r="Z141" i="12"/>
  <c r="X141" i="12"/>
  <c r="N141" i="12"/>
  <c r="L141" i="12"/>
  <c r="B141" i="12"/>
  <c r="Z140" i="12"/>
  <c r="X140" i="12"/>
  <c r="N140" i="12"/>
  <c r="L140" i="12"/>
  <c r="B140" i="12"/>
  <c r="X139" i="12"/>
  <c r="Z139" i="12" s="1"/>
  <c r="L139" i="12"/>
  <c r="N139" i="12" s="1"/>
  <c r="B139" i="12"/>
  <c r="X138" i="12"/>
  <c r="V138" i="12"/>
  <c r="T138" i="12"/>
  <c r="P138" i="12"/>
  <c r="J138" i="12"/>
  <c r="H138" i="12"/>
  <c r="L138" i="12" s="1"/>
  <c r="N138" i="12" s="1"/>
  <c r="D138" i="12"/>
  <c r="B138" i="12"/>
  <c r="Z137" i="12"/>
  <c r="X137" i="12"/>
  <c r="L137" i="12"/>
  <c r="N137" i="12" s="1"/>
  <c r="B137" i="12"/>
  <c r="Z136" i="12"/>
  <c r="X136" i="12"/>
  <c r="N136" i="12"/>
  <c r="L136" i="12"/>
  <c r="J136" i="12"/>
  <c r="B136" i="12"/>
  <c r="X135" i="12"/>
  <c r="Z135" i="12" s="1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J132" i="12"/>
  <c r="B132" i="12"/>
  <c r="X131" i="12"/>
  <c r="Z131" i="12" s="1"/>
  <c r="L131" i="12"/>
  <c r="N131" i="12" s="1"/>
  <c r="J131" i="12"/>
  <c r="B131" i="12"/>
  <c r="Z130" i="12"/>
  <c r="X130" i="12"/>
  <c r="N130" i="12"/>
  <c r="L130" i="12"/>
  <c r="B130" i="12"/>
  <c r="X129" i="12"/>
  <c r="Z129" i="12" s="1"/>
  <c r="L129" i="12"/>
  <c r="N129" i="12" s="1"/>
  <c r="B129" i="12"/>
  <c r="Z128" i="12"/>
  <c r="X128" i="12"/>
  <c r="N128" i="12"/>
  <c r="L128" i="12"/>
  <c r="J128" i="12"/>
  <c r="B128" i="12"/>
  <c r="X127" i="12"/>
  <c r="Z127" i="12" s="1"/>
  <c r="T127" i="12"/>
  <c r="P127" i="12"/>
  <c r="L127" i="12"/>
  <c r="N127" i="12" s="1"/>
  <c r="H127" i="12"/>
  <c r="D127" i="12"/>
  <c r="B127" i="12"/>
  <c r="T126" i="12"/>
  <c r="P126" i="12"/>
  <c r="X126" i="12" s="1"/>
  <c r="Z126" i="12" s="1"/>
  <c r="N126" i="12"/>
  <c r="J126" i="12"/>
  <c r="H126" i="12"/>
  <c r="D126" i="12"/>
  <c r="L126" i="12" s="1"/>
  <c r="Z122" i="12"/>
  <c r="X122" i="12"/>
  <c r="N122" i="12"/>
  <c r="L122" i="12"/>
  <c r="J122" i="12"/>
  <c r="B122" i="12"/>
  <c r="Z121" i="12"/>
  <c r="X121" i="12"/>
  <c r="N121" i="12"/>
  <c r="L121" i="12"/>
  <c r="B121" i="12"/>
  <c r="Z120" i="12"/>
  <c r="X120" i="12"/>
  <c r="N120" i="12"/>
  <c r="L120" i="12"/>
  <c r="J120" i="12"/>
  <c r="B120" i="12"/>
  <c r="Z119" i="12"/>
  <c r="X119" i="12"/>
  <c r="V119" i="12"/>
  <c r="N119" i="12"/>
  <c r="L119" i="12"/>
  <c r="B119" i="12"/>
  <c r="Z118" i="12"/>
  <c r="X118" i="12"/>
  <c r="N118" i="12"/>
  <c r="L118" i="12"/>
  <c r="J118" i="12"/>
  <c r="B118" i="12"/>
  <c r="Z117" i="12"/>
  <c r="X117" i="12"/>
  <c r="N117" i="12"/>
  <c r="L117" i="12"/>
  <c r="B117" i="12"/>
  <c r="Z116" i="12"/>
  <c r="X116" i="12"/>
  <c r="N116" i="12"/>
  <c r="L116" i="12"/>
  <c r="J116" i="12"/>
  <c r="B116" i="12"/>
  <c r="Z115" i="12"/>
  <c r="X115" i="12"/>
  <c r="V115" i="12"/>
  <c r="N115" i="12"/>
  <c r="L115" i="12"/>
  <c r="B115" i="12"/>
  <c r="Z114" i="12"/>
  <c r="X114" i="12"/>
  <c r="N114" i="12"/>
  <c r="L114" i="12"/>
  <c r="J114" i="12"/>
  <c r="B114" i="12"/>
  <c r="Z113" i="12"/>
  <c r="X113" i="12"/>
  <c r="N113" i="12"/>
  <c r="L113" i="12"/>
  <c r="B113" i="12"/>
  <c r="Z112" i="12"/>
  <c r="X112" i="12"/>
  <c r="N112" i="12"/>
  <c r="L112" i="12"/>
  <c r="J112" i="12"/>
  <c r="B112" i="12"/>
  <c r="Z111" i="12"/>
  <c r="X111" i="12"/>
  <c r="V111" i="12"/>
  <c r="N111" i="12"/>
  <c r="L111" i="12"/>
  <c r="B111" i="12"/>
  <c r="Z110" i="12"/>
  <c r="X110" i="12"/>
  <c r="N110" i="12"/>
  <c r="L110" i="12"/>
  <c r="J110" i="12"/>
  <c r="B110" i="12"/>
  <c r="Z109" i="12"/>
  <c r="X109" i="12"/>
  <c r="N109" i="12"/>
  <c r="L109" i="12"/>
  <c r="B109" i="12"/>
  <c r="Z108" i="12"/>
  <c r="X108" i="12"/>
  <c r="N108" i="12"/>
  <c r="L108" i="12"/>
  <c r="J108" i="12"/>
  <c r="B108" i="12"/>
  <c r="Z107" i="12"/>
  <c r="X107" i="12"/>
  <c r="V107" i="12"/>
  <c r="N107" i="12"/>
  <c r="L107" i="12"/>
  <c r="J107" i="12"/>
  <c r="B107" i="12"/>
  <c r="Z106" i="12"/>
  <c r="X106" i="12"/>
  <c r="N106" i="12"/>
  <c r="L106" i="12"/>
  <c r="J106" i="12"/>
  <c r="B106" i="12"/>
  <c r="Z105" i="12"/>
  <c r="X105" i="12"/>
  <c r="N105" i="12"/>
  <c r="L105" i="12"/>
  <c r="B105" i="12"/>
  <c r="Z104" i="12"/>
  <c r="X104" i="12"/>
  <c r="N104" i="12"/>
  <c r="L104" i="12"/>
  <c r="J104" i="12"/>
  <c r="B104" i="12"/>
  <c r="Z103" i="12"/>
  <c r="X103" i="12"/>
  <c r="V103" i="12"/>
  <c r="N103" i="12"/>
  <c r="L103" i="12"/>
  <c r="J103" i="12"/>
  <c r="B103" i="12"/>
  <c r="Z102" i="12"/>
  <c r="X102" i="12"/>
  <c r="N102" i="12"/>
  <c r="L102" i="12"/>
  <c r="J102" i="12"/>
  <c r="B102" i="12"/>
  <c r="Z101" i="12"/>
  <c r="X101" i="12"/>
  <c r="N101" i="12"/>
  <c r="L101" i="12"/>
  <c r="B101" i="12"/>
  <c r="Z100" i="12"/>
  <c r="X100" i="12"/>
  <c r="N100" i="12"/>
  <c r="L100" i="12"/>
  <c r="J100" i="12"/>
  <c r="B100" i="12"/>
  <c r="Z99" i="12"/>
  <c r="X99" i="12"/>
  <c r="V99" i="12"/>
  <c r="N99" i="12"/>
  <c r="L99" i="12"/>
  <c r="J99" i="12"/>
  <c r="B99" i="12"/>
  <c r="Z98" i="12"/>
  <c r="X98" i="12"/>
  <c r="N98" i="12"/>
  <c r="L98" i="12"/>
  <c r="J98" i="12"/>
  <c r="B98" i="12"/>
  <c r="Z97" i="12"/>
  <c r="X97" i="12"/>
  <c r="N97" i="12"/>
  <c r="L97" i="12"/>
  <c r="B97" i="12"/>
  <c r="Z96" i="12"/>
  <c r="X96" i="12"/>
  <c r="N96" i="12"/>
  <c r="L96" i="12"/>
  <c r="J96" i="12"/>
  <c r="B96" i="12"/>
  <c r="Z95" i="12"/>
  <c r="X95" i="12"/>
  <c r="V95" i="12"/>
  <c r="N95" i="12"/>
  <c r="L95" i="12"/>
  <c r="J95" i="12"/>
  <c r="B95" i="12"/>
  <c r="Z94" i="12"/>
  <c r="X94" i="12"/>
  <c r="N94" i="12"/>
  <c r="L94" i="12"/>
  <c r="J94" i="12"/>
  <c r="B94" i="12"/>
  <c r="Z93" i="12"/>
  <c r="X93" i="12"/>
  <c r="N93" i="12"/>
  <c r="L93" i="12"/>
  <c r="B93" i="12"/>
  <c r="Z92" i="12"/>
  <c r="X92" i="12"/>
  <c r="N92" i="12"/>
  <c r="L92" i="12"/>
  <c r="J92" i="12"/>
  <c r="B92" i="12"/>
  <c r="Z91" i="12"/>
  <c r="X91" i="12"/>
  <c r="V91" i="12"/>
  <c r="N91" i="12"/>
  <c r="L91" i="12"/>
  <c r="J91" i="12"/>
  <c r="B91" i="12"/>
  <c r="Z90" i="12"/>
  <c r="X90" i="12"/>
  <c r="N90" i="12"/>
  <c r="L90" i="12"/>
  <c r="J90" i="12"/>
  <c r="B90" i="12"/>
  <c r="Z89" i="12"/>
  <c r="X89" i="12"/>
  <c r="N89" i="12"/>
  <c r="L89" i="12"/>
  <c r="B89" i="12"/>
  <c r="Z88" i="12"/>
  <c r="X88" i="12"/>
  <c r="N88" i="12"/>
  <c r="L88" i="12"/>
  <c r="J88" i="12"/>
  <c r="B88" i="12"/>
  <c r="Z87" i="12"/>
  <c r="X87" i="12"/>
  <c r="V87" i="12"/>
  <c r="N87" i="12"/>
  <c r="L87" i="12"/>
  <c r="J87" i="12"/>
  <c r="B87" i="12"/>
  <c r="Z86" i="12"/>
  <c r="X86" i="12"/>
  <c r="N86" i="12"/>
  <c r="L86" i="12"/>
  <c r="J86" i="12"/>
  <c r="B86" i="12"/>
  <c r="Z85" i="12"/>
  <c r="X85" i="12"/>
  <c r="N85" i="12"/>
  <c r="L85" i="12"/>
  <c r="B85" i="12"/>
  <c r="Z84" i="12"/>
  <c r="X84" i="12"/>
  <c r="N84" i="12"/>
  <c r="L84" i="12"/>
  <c r="J84" i="12"/>
  <c r="B84" i="12"/>
  <c r="Z83" i="12"/>
  <c r="X83" i="12"/>
  <c r="V83" i="12"/>
  <c r="N83" i="12"/>
  <c r="L83" i="12"/>
  <c r="J83" i="12"/>
  <c r="B83" i="12"/>
  <c r="Z82" i="12"/>
  <c r="X82" i="12"/>
  <c r="L82" i="12"/>
  <c r="N82" i="12" s="1"/>
  <c r="J82" i="12"/>
  <c r="B82" i="12"/>
  <c r="T81" i="12"/>
  <c r="P81" i="12"/>
  <c r="H81" i="12"/>
  <c r="D81" i="12"/>
  <c r="Z79" i="12"/>
  <c r="X79" i="12"/>
  <c r="P79" i="12"/>
  <c r="N79" i="12"/>
  <c r="L79" i="12"/>
  <c r="D79" i="12"/>
  <c r="B79" i="12"/>
  <c r="Z78" i="12"/>
  <c r="X78" i="12"/>
  <c r="P78" i="12"/>
  <c r="N78" i="12"/>
  <c r="L78" i="12"/>
  <c r="D78" i="12"/>
  <c r="B78" i="12"/>
  <c r="Z77" i="12"/>
  <c r="X77" i="12"/>
  <c r="P77" i="12"/>
  <c r="N77" i="12"/>
  <c r="L77" i="12"/>
  <c r="D77" i="12"/>
  <c r="B77" i="12"/>
  <c r="Z76" i="12"/>
  <c r="P76" i="12"/>
  <c r="X76" i="12" s="1"/>
  <c r="N76" i="12"/>
  <c r="L76" i="12"/>
  <c r="D76" i="12"/>
  <c r="B76" i="12"/>
  <c r="Z75" i="12"/>
  <c r="X75" i="12"/>
  <c r="P75" i="12"/>
  <c r="N75" i="12"/>
  <c r="L75" i="12"/>
  <c r="D75" i="12"/>
  <c r="B75" i="12"/>
  <c r="Z74" i="12"/>
  <c r="P74" i="12"/>
  <c r="X74" i="12" s="1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P72" i="12"/>
  <c r="X72" i="12" s="1"/>
  <c r="N72" i="12"/>
  <c r="L72" i="12"/>
  <c r="D72" i="12"/>
  <c r="B72" i="12"/>
  <c r="Z71" i="12"/>
  <c r="X71" i="12"/>
  <c r="P71" i="12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X69" i="12"/>
  <c r="P69" i="12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X67" i="12"/>
  <c r="P67" i="12"/>
  <c r="N67" i="12"/>
  <c r="L67" i="12"/>
  <c r="D67" i="12"/>
  <c r="B67" i="12"/>
  <c r="Z66" i="12"/>
  <c r="P66" i="12"/>
  <c r="X66" i="12" s="1"/>
  <c r="N66" i="12"/>
  <c r="L66" i="12"/>
  <c r="D66" i="12"/>
  <c r="B66" i="12"/>
  <c r="Z65" i="12"/>
  <c r="X65" i="12"/>
  <c r="P65" i="12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X63" i="12"/>
  <c r="P63" i="12"/>
  <c r="N63" i="12"/>
  <c r="D63" i="12"/>
  <c r="L63" i="12" s="1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D61" i="12"/>
  <c r="L61" i="12" s="1"/>
  <c r="B61" i="12"/>
  <c r="Z60" i="12"/>
  <c r="P60" i="12"/>
  <c r="X60" i="12" s="1"/>
  <c r="N60" i="12"/>
  <c r="L60" i="12"/>
  <c r="D60" i="12"/>
  <c r="B60" i="12"/>
  <c r="Z59" i="12"/>
  <c r="X59" i="12"/>
  <c r="P59" i="12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X57" i="12"/>
  <c r="P57" i="12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X55" i="12"/>
  <c r="P55" i="12"/>
  <c r="N55" i="12"/>
  <c r="L55" i="12"/>
  <c r="D55" i="12"/>
  <c r="B55" i="12"/>
  <c r="Z54" i="12"/>
  <c r="P54" i="12"/>
  <c r="X54" i="12" s="1"/>
  <c r="N54" i="12"/>
  <c r="L54" i="12"/>
  <c r="D54" i="12"/>
  <c r="B54" i="12"/>
  <c r="Z53" i="12"/>
  <c r="X53" i="12"/>
  <c r="P53" i="12"/>
  <c r="N53" i="12"/>
  <c r="L53" i="12"/>
  <c r="D53" i="12"/>
  <c r="B53" i="12"/>
  <c r="Z52" i="12"/>
  <c r="P52" i="12"/>
  <c r="X52" i="12" s="1"/>
  <c r="N52" i="12"/>
  <c r="L52" i="12"/>
  <c r="D52" i="12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D49" i="12"/>
  <c r="L49" i="12" s="1"/>
  <c r="B49" i="12"/>
  <c r="Z48" i="12"/>
  <c r="P48" i="12"/>
  <c r="X48" i="12" s="1"/>
  <c r="N48" i="12"/>
  <c r="L48" i="12"/>
  <c r="D48" i="12"/>
  <c r="B48" i="12"/>
  <c r="Z47" i="12"/>
  <c r="X47" i="12"/>
  <c r="P47" i="12"/>
  <c r="N47" i="12"/>
  <c r="D47" i="12"/>
  <c r="L47" i="12" s="1"/>
  <c r="B47" i="12"/>
  <c r="Z46" i="12"/>
  <c r="X46" i="12"/>
  <c r="P46" i="12"/>
  <c r="N46" i="12"/>
  <c r="D46" i="12"/>
  <c r="L46" i="12" s="1"/>
  <c r="B46" i="12"/>
  <c r="Z45" i="12"/>
  <c r="X45" i="12"/>
  <c r="P45" i="12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X43" i="12"/>
  <c r="P43" i="12"/>
  <c r="N43" i="12"/>
  <c r="L43" i="12"/>
  <c r="D43" i="12"/>
  <c r="B43" i="12"/>
  <c r="Z42" i="12"/>
  <c r="X42" i="12"/>
  <c r="P42" i="12"/>
  <c r="N42" i="12"/>
  <c r="L42" i="12"/>
  <c r="D42" i="12"/>
  <c r="B42" i="12"/>
  <c r="Z41" i="12"/>
  <c r="X41" i="12"/>
  <c r="P41" i="12"/>
  <c r="N41" i="12"/>
  <c r="L41" i="12"/>
  <c r="D41" i="12"/>
  <c r="B41" i="12"/>
  <c r="Z40" i="12"/>
  <c r="P40" i="12"/>
  <c r="X40" i="12" s="1"/>
  <c r="N40" i="12"/>
  <c r="L40" i="12"/>
  <c r="D40" i="12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D37" i="12"/>
  <c r="L37" i="12" s="1"/>
  <c r="B37" i="12"/>
  <c r="P36" i="12"/>
  <c r="X36" i="12" s="1"/>
  <c r="Z36" i="12" s="1"/>
  <c r="N36" i="12"/>
  <c r="L36" i="12"/>
  <c r="D36" i="12"/>
  <c r="B36" i="12"/>
  <c r="Z35" i="12"/>
  <c r="X35" i="12"/>
  <c r="P35" i="12"/>
  <c r="N35" i="12"/>
  <c r="D35" i="12"/>
  <c r="L35" i="12" s="1"/>
  <c r="B35" i="12"/>
  <c r="Z34" i="12"/>
  <c r="X34" i="12"/>
  <c r="P34" i="12"/>
  <c r="N34" i="12"/>
  <c r="D34" i="12"/>
  <c r="L34" i="12" s="1"/>
  <c r="B34" i="12"/>
  <c r="Z33" i="12"/>
  <c r="X33" i="12"/>
  <c r="P33" i="12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X31" i="12"/>
  <c r="P31" i="12"/>
  <c r="N31" i="12"/>
  <c r="L31" i="12"/>
  <c r="D31" i="12"/>
  <c r="B31" i="12"/>
  <c r="Z30" i="12"/>
  <c r="P30" i="12"/>
  <c r="X30" i="12" s="1"/>
  <c r="N30" i="12"/>
  <c r="L30" i="12"/>
  <c r="D30" i="12"/>
  <c r="B30" i="12"/>
  <c r="Z29" i="12"/>
  <c r="X29" i="12"/>
  <c r="P29" i="12"/>
  <c r="N29" i="12"/>
  <c r="L29" i="12"/>
  <c r="D29" i="12"/>
  <c r="B29" i="12"/>
  <c r="Z28" i="12"/>
  <c r="P28" i="12"/>
  <c r="X28" i="12" s="1"/>
  <c r="N28" i="12"/>
  <c r="L28" i="12"/>
  <c r="D28" i="12"/>
  <c r="B28" i="12"/>
  <c r="Z27" i="12"/>
  <c r="X27" i="12"/>
  <c r="P27" i="12"/>
  <c r="N27" i="12"/>
  <c r="L27" i="12"/>
  <c r="D27" i="12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D25" i="12"/>
  <c r="L25" i="12" s="1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X21" i="12"/>
  <c r="P21" i="12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X19" i="12"/>
  <c r="P19" i="12"/>
  <c r="N19" i="12"/>
  <c r="L19" i="12"/>
  <c r="D19" i="12"/>
  <c r="B19" i="12"/>
  <c r="Z18" i="12"/>
  <c r="P18" i="12"/>
  <c r="X18" i="12" s="1"/>
  <c r="N18" i="12"/>
  <c r="L18" i="12"/>
  <c r="D18" i="12"/>
  <c r="B18" i="12"/>
  <c r="Z17" i="12"/>
  <c r="X17" i="12"/>
  <c r="P17" i="12"/>
  <c r="N17" i="12"/>
  <c r="L17" i="12"/>
  <c r="D17" i="12"/>
  <c r="B17" i="12"/>
  <c r="Z16" i="12"/>
  <c r="P16" i="12"/>
  <c r="X16" i="12" s="1"/>
  <c r="N16" i="12"/>
  <c r="L16" i="12"/>
  <c r="D16" i="12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L14" i="12"/>
  <c r="D14" i="12"/>
  <c r="B14" i="12"/>
  <c r="P13" i="12"/>
  <c r="D13" i="12"/>
  <c r="L13" i="12" s="1"/>
  <c r="N13" i="12" s="1"/>
  <c r="B13" i="12"/>
  <c r="T12" i="12"/>
  <c r="V207" i="12" s="1"/>
  <c r="H12" i="12"/>
  <c r="D4" i="12"/>
  <c r="J110" i="9"/>
  <c r="J107" i="9"/>
  <c r="Z105" i="9"/>
  <c r="X105" i="9"/>
  <c r="N105" i="9"/>
  <c r="L105" i="9"/>
  <c r="Z101" i="9"/>
  <c r="X101" i="9"/>
  <c r="P101" i="9"/>
  <c r="N101" i="9"/>
  <c r="L101" i="9"/>
  <c r="D101" i="9"/>
  <c r="B101" i="9"/>
  <c r="Z100" i="9"/>
  <c r="X100" i="9"/>
  <c r="V100" i="9"/>
  <c r="P100" i="9"/>
  <c r="P98" i="9" s="1"/>
  <c r="N100" i="9"/>
  <c r="L100" i="9"/>
  <c r="D100" i="9"/>
  <c r="B100" i="9"/>
  <c r="Z99" i="9"/>
  <c r="V99" i="9"/>
  <c r="P99" i="9"/>
  <c r="X99" i="9" s="1"/>
  <c r="N99" i="9"/>
  <c r="D99" i="9"/>
  <c r="L99" i="9" s="1"/>
  <c r="B99" i="9"/>
  <c r="T98" i="9"/>
  <c r="Z98" i="9" s="1"/>
  <c r="N98" i="9"/>
  <c r="H98" i="9"/>
  <c r="Z96" i="9"/>
  <c r="X96" i="9"/>
  <c r="R96" i="9"/>
  <c r="N96" i="9"/>
  <c r="L96" i="9"/>
  <c r="B96" i="9"/>
  <c r="X95" i="9"/>
  <c r="Z95" i="9" s="1"/>
  <c r="N95" i="9"/>
  <c r="L95" i="9"/>
  <c r="J95" i="9"/>
  <c r="B95" i="9"/>
  <c r="V94" i="9"/>
  <c r="T94" i="9"/>
  <c r="P94" i="9"/>
  <c r="X94" i="9" s="1"/>
  <c r="Z94" i="9" s="1"/>
  <c r="H94" i="9"/>
  <c r="D94" i="9"/>
  <c r="B94" i="9"/>
  <c r="X93" i="9"/>
  <c r="Z93" i="9" s="1"/>
  <c r="N93" i="9"/>
  <c r="L93" i="9"/>
  <c r="B93" i="9"/>
  <c r="V92" i="9"/>
  <c r="T92" i="9"/>
  <c r="P92" i="9"/>
  <c r="X92" i="9" s="1"/>
  <c r="Z92" i="9" s="1"/>
  <c r="H92" i="9"/>
  <c r="D92" i="9"/>
  <c r="L92" i="9" s="1"/>
  <c r="N92" i="9" s="1"/>
  <c r="B92" i="9"/>
  <c r="X91" i="9"/>
  <c r="Z91" i="9" s="1"/>
  <c r="L91" i="9"/>
  <c r="N91" i="9" s="1"/>
  <c r="B91" i="9"/>
  <c r="X90" i="9"/>
  <c r="Z90" i="9" s="1"/>
  <c r="V90" i="9"/>
  <c r="N90" i="9"/>
  <c r="L90" i="9"/>
  <c r="B90" i="9"/>
  <c r="T89" i="9"/>
  <c r="P89" i="9"/>
  <c r="X89" i="9" s="1"/>
  <c r="Z89" i="9" s="1"/>
  <c r="H89" i="9"/>
  <c r="D89" i="9"/>
  <c r="L89" i="9" s="1"/>
  <c r="B89" i="9"/>
  <c r="Z88" i="9"/>
  <c r="X88" i="9"/>
  <c r="N88" i="9"/>
  <c r="L88" i="9"/>
  <c r="B88" i="9"/>
  <c r="X87" i="9"/>
  <c r="Z87" i="9" s="1"/>
  <c r="N87" i="9"/>
  <c r="L87" i="9"/>
  <c r="J87" i="9"/>
  <c r="B87" i="9"/>
  <c r="Z86" i="9"/>
  <c r="X86" i="9"/>
  <c r="V86" i="9"/>
  <c r="N86" i="9"/>
  <c r="L86" i="9"/>
  <c r="B86" i="9"/>
  <c r="Z85" i="9"/>
  <c r="X85" i="9"/>
  <c r="L85" i="9"/>
  <c r="N85" i="9" s="1"/>
  <c r="B85" i="9"/>
  <c r="Z84" i="9"/>
  <c r="X84" i="9"/>
  <c r="N84" i="9"/>
  <c r="L84" i="9"/>
  <c r="B84" i="9"/>
  <c r="X83" i="9"/>
  <c r="Z83" i="9" s="1"/>
  <c r="T83" i="9"/>
  <c r="P83" i="9"/>
  <c r="N83" i="9"/>
  <c r="L83" i="9"/>
  <c r="H83" i="9"/>
  <c r="D83" i="9"/>
  <c r="B83" i="9"/>
  <c r="Z82" i="9"/>
  <c r="X82" i="9"/>
  <c r="L82" i="9"/>
  <c r="N82" i="9" s="1"/>
  <c r="J82" i="9"/>
  <c r="B82" i="9"/>
  <c r="X81" i="9"/>
  <c r="Z81" i="9" s="1"/>
  <c r="N81" i="9"/>
  <c r="L81" i="9"/>
  <c r="B81" i="9"/>
  <c r="V80" i="9"/>
  <c r="T80" i="9"/>
  <c r="P80" i="9"/>
  <c r="X80" i="9" s="1"/>
  <c r="Z80" i="9" s="1"/>
  <c r="H80" i="9"/>
  <c r="D80" i="9"/>
  <c r="L80" i="9" s="1"/>
  <c r="N80" i="9" s="1"/>
  <c r="B80" i="9"/>
  <c r="X79" i="9"/>
  <c r="Z79" i="9" s="1"/>
  <c r="L79" i="9"/>
  <c r="N79" i="9" s="1"/>
  <c r="B79" i="9"/>
  <c r="X78" i="9"/>
  <c r="Z78" i="9" s="1"/>
  <c r="V78" i="9"/>
  <c r="N78" i="9"/>
  <c r="L78" i="9"/>
  <c r="B78" i="9"/>
  <c r="T77" i="9"/>
  <c r="P77" i="9"/>
  <c r="X77" i="9" s="1"/>
  <c r="Z77" i="9" s="1"/>
  <c r="H77" i="9"/>
  <c r="N77" i="9" s="1"/>
  <c r="D77" i="9"/>
  <c r="L77" i="9" s="1"/>
  <c r="B77" i="9"/>
  <c r="Z76" i="9"/>
  <c r="X76" i="9"/>
  <c r="N76" i="9"/>
  <c r="L76" i="9"/>
  <c r="B76" i="9"/>
  <c r="X75" i="9"/>
  <c r="Z75" i="9" s="1"/>
  <c r="N75" i="9"/>
  <c r="L75" i="9"/>
  <c r="J75" i="9"/>
  <c r="B75" i="9"/>
  <c r="Z74" i="9"/>
  <c r="X74" i="9"/>
  <c r="V74" i="9"/>
  <c r="N74" i="9"/>
  <c r="L74" i="9"/>
  <c r="B74" i="9"/>
  <c r="Z73" i="9"/>
  <c r="X73" i="9"/>
  <c r="L73" i="9"/>
  <c r="N73" i="9" s="1"/>
  <c r="B73" i="9"/>
  <c r="T72" i="9"/>
  <c r="R72" i="9"/>
  <c r="P72" i="9"/>
  <c r="X72" i="9" s="1"/>
  <c r="H72" i="9"/>
  <c r="D72" i="9"/>
  <c r="L72" i="9" s="1"/>
  <c r="N72" i="9" s="1"/>
  <c r="B72" i="9"/>
  <c r="X71" i="9"/>
  <c r="Z71" i="9" s="1"/>
  <c r="V71" i="9"/>
  <c r="L71" i="9"/>
  <c r="N71" i="9" s="1"/>
  <c r="B71" i="9"/>
  <c r="Z70" i="9"/>
  <c r="X70" i="9"/>
  <c r="L70" i="9"/>
  <c r="N70" i="9" s="1"/>
  <c r="J70" i="9"/>
  <c r="B70" i="9"/>
  <c r="X69" i="9"/>
  <c r="Z69" i="9" s="1"/>
  <c r="N69" i="9"/>
  <c r="L69" i="9"/>
  <c r="B69" i="9"/>
  <c r="Z68" i="9"/>
  <c r="X68" i="9"/>
  <c r="V68" i="9"/>
  <c r="N68" i="9"/>
  <c r="L68" i="9"/>
  <c r="B68" i="9"/>
  <c r="V67" i="9"/>
  <c r="T67" i="9"/>
  <c r="P67" i="9"/>
  <c r="H67" i="9"/>
  <c r="D67" i="9"/>
  <c r="B67" i="9"/>
  <c r="X66" i="9"/>
  <c r="Z66" i="9" s="1"/>
  <c r="V66" i="9"/>
  <c r="N66" i="9"/>
  <c r="L66" i="9"/>
  <c r="B66" i="9"/>
  <c r="Z65" i="9"/>
  <c r="X65" i="9"/>
  <c r="N65" i="9"/>
  <c r="L65" i="9"/>
  <c r="B65" i="9"/>
  <c r="V64" i="9"/>
  <c r="T64" i="9"/>
  <c r="X64" i="9" s="1"/>
  <c r="Z64" i="9" s="1"/>
  <c r="P64" i="9"/>
  <c r="L64" i="9"/>
  <c r="N64" i="9" s="1"/>
  <c r="J64" i="9"/>
  <c r="H64" i="9"/>
  <c r="D64" i="9"/>
  <c r="B64" i="9"/>
  <c r="X63" i="9"/>
  <c r="Z63" i="9" s="1"/>
  <c r="L63" i="9"/>
  <c r="N63" i="9" s="1"/>
  <c r="J63" i="9"/>
  <c r="B63" i="9"/>
  <c r="V62" i="9"/>
  <c r="T62" i="9"/>
  <c r="P62" i="9"/>
  <c r="X62" i="9" s="1"/>
  <c r="Z62" i="9" s="1"/>
  <c r="H62" i="9"/>
  <c r="D62" i="9"/>
  <c r="L62" i="9" s="1"/>
  <c r="B62" i="9"/>
  <c r="X61" i="9"/>
  <c r="Z61" i="9" s="1"/>
  <c r="N61" i="9"/>
  <c r="L61" i="9"/>
  <c r="B61" i="9"/>
  <c r="Z60" i="9"/>
  <c r="X60" i="9"/>
  <c r="V60" i="9"/>
  <c r="N60" i="9"/>
  <c r="L60" i="9"/>
  <c r="B60" i="9"/>
  <c r="V59" i="9"/>
  <c r="T59" i="9"/>
  <c r="P59" i="9"/>
  <c r="X59" i="9" s="1"/>
  <c r="H59" i="9"/>
  <c r="D59" i="9"/>
  <c r="B59" i="9"/>
  <c r="X58" i="9"/>
  <c r="Z58" i="9" s="1"/>
  <c r="V58" i="9"/>
  <c r="N58" i="9"/>
  <c r="L58" i="9"/>
  <c r="B58" i="9"/>
  <c r="T57" i="9"/>
  <c r="P57" i="9"/>
  <c r="X57" i="9" s="1"/>
  <c r="Z57" i="9" s="1"/>
  <c r="H57" i="9"/>
  <c r="N57" i="9" s="1"/>
  <c r="D57" i="9"/>
  <c r="L57" i="9" s="1"/>
  <c r="B57" i="9"/>
  <c r="Z56" i="9"/>
  <c r="X56" i="9"/>
  <c r="N56" i="9"/>
  <c r="L56" i="9"/>
  <c r="B56" i="9"/>
  <c r="X55" i="9"/>
  <c r="Z55" i="9" s="1"/>
  <c r="T55" i="9"/>
  <c r="P55" i="9"/>
  <c r="N55" i="9"/>
  <c r="L55" i="9"/>
  <c r="H55" i="9"/>
  <c r="D55" i="9"/>
  <c r="B55" i="9"/>
  <c r="Z54" i="9"/>
  <c r="X54" i="9"/>
  <c r="L54" i="9"/>
  <c r="N54" i="9" s="1"/>
  <c r="J54" i="9"/>
  <c r="B54" i="9"/>
  <c r="X53" i="9"/>
  <c r="Z53" i="9" s="1"/>
  <c r="N53" i="9"/>
  <c r="L53" i="9"/>
  <c r="B53" i="9"/>
  <c r="Z52" i="9"/>
  <c r="V52" i="9"/>
  <c r="T52" i="9"/>
  <c r="P52" i="9"/>
  <c r="X52" i="9" s="1"/>
  <c r="H52" i="9"/>
  <c r="D52" i="9"/>
  <c r="L52" i="9" s="1"/>
  <c r="N52" i="9" s="1"/>
  <c r="B52" i="9"/>
  <c r="X51" i="9"/>
  <c r="Z51" i="9" s="1"/>
  <c r="N51" i="9"/>
  <c r="L51" i="9"/>
  <c r="B51" i="9"/>
  <c r="X50" i="9"/>
  <c r="Z50" i="9" s="1"/>
  <c r="V50" i="9"/>
  <c r="N50" i="9"/>
  <c r="L50" i="9"/>
  <c r="B50" i="9"/>
  <c r="T49" i="9"/>
  <c r="P49" i="9"/>
  <c r="X49" i="9" s="1"/>
  <c r="Z49" i="9" s="1"/>
  <c r="H49" i="9"/>
  <c r="N49" i="9" s="1"/>
  <c r="D49" i="9"/>
  <c r="L49" i="9" s="1"/>
  <c r="B49" i="9"/>
  <c r="Z48" i="9"/>
  <c r="X48" i="9"/>
  <c r="N48" i="9"/>
  <c r="L48" i="9"/>
  <c r="B48" i="9"/>
  <c r="X47" i="9"/>
  <c r="Z47" i="9" s="1"/>
  <c r="T47" i="9"/>
  <c r="P47" i="9"/>
  <c r="N47" i="9"/>
  <c r="L47" i="9"/>
  <c r="H47" i="9"/>
  <c r="D47" i="9"/>
  <c r="B47" i="9"/>
  <c r="Z46" i="9"/>
  <c r="X46" i="9"/>
  <c r="L46" i="9"/>
  <c r="N46" i="9" s="1"/>
  <c r="J46" i="9"/>
  <c r="B46" i="9"/>
  <c r="T45" i="9"/>
  <c r="P45" i="9"/>
  <c r="J45" i="9"/>
  <c r="H45" i="9"/>
  <c r="D45" i="9"/>
  <c r="L45" i="9" s="1"/>
  <c r="B45" i="9"/>
  <c r="Z44" i="9"/>
  <c r="X44" i="9"/>
  <c r="V44" i="9"/>
  <c r="N44" i="9"/>
  <c r="L44" i="9"/>
  <c r="B44" i="9"/>
  <c r="T43" i="9"/>
  <c r="P43" i="9"/>
  <c r="X43" i="9" s="1"/>
  <c r="H43" i="9"/>
  <c r="D43" i="9"/>
  <c r="L43" i="9" s="1"/>
  <c r="N43" i="9" s="1"/>
  <c r="B43" i="9"/>
  <c r="Z42" i="9"/>
  <c r="X42" i="9"/>
  <c r="V42" i="9"/>
  <c r="N42" i="9"/>
  <c r="L42" i="9"/>
  <c r="B42" i="9"/>
  <c r="Z41" i="9"/>
  <c r="X41" i="9"/>
  <c r="N41" i="9"/>
  <c r="L41" i="9"/>
  <c r="B41" i="9"/>
  <c r="Z40" i="9"/>
  <c r="X40" i="9"/>
  <c r="N40" i="9"/>
  <c r="L40" i="9"/>
  <c r="B40" i="9"/>
  <c r="X39" i="9"/>
  <c r="Z39" i="9" s="1"/>
  <c r="L39" i="9"/>
  <c r="N39" i="9" s="1"/>
  <c r="J39" i="9"/>
  <c r="B39" i="9"/>
  <c r="Z38" i="9"/>
  <c r="X38" i="9"/>
  <c r="V38" i="9"/>
  <c r="N38" i="9"/>
  <c r="L38" i="9"/>
  <c r="B38" i="9"/>
  <c r="Z37" i="9"/>
  <c r="X37" i="9"/>
  <c r="L37" i="9"/>
  <c r="N37" i="9" s="1"/>
  <c r="B37" i="9"/>
  <c r="Z36" i="9"/>
  <c r="X36" i="9"/>
  <c r="R36" i="9"/>
  <c r="N36" i="9"/>
  <c r="L36" i="9"/>
  <c r="B36" i="9"/>
  <c r="Z35" i="9"/>
  <c r="X35" i="9"/>
  <c r="N35" i="9"/>
  <c r="L35" i="9"/>
  <c r="J35" i="9"/>
  <c r="B35" i="9"/>
  <c r="Z34" i="9"/>
  <c r="X34" i="9"/>
  <c r="V34" i="9"/>
  <c r="N34" i="9"/>
  <c r="L34" i="9"/>
  <c r="B34" i="9"/>
  <c r="X33" i="9"/>
  <c r="Z33" i="9" s="1"/>
  <c r="L33" i="9"/>
  <c r="N33" i="9" s="1"/>
  <c r="B33" i="9"/>
  <c r="T32" i="9"/>
  <c r="P32" i="9"/>
  <c r="X32" i="9" s="1"/>
  <c r="H32" i="9"/>
  <c r="D32" i="9"/>
  <c r="L32" i="9" s="1"/>
  <c r="N32" i="9" s="1"/>
  <c r="B32" i="9"/>
  <c r="X31" i="9"/>
  <c r="Z31" i="9" s="1"/>
  <c r="V31" i="9"/>
  <c r="L31" i="9"/>
  <c r="N31" i="9" s="1"/>
  <c r="B31" i="9"/>
  <c r="Z30" i="9"/>
  <c r="X30" i="9"/>
  <c r="L30" i="9"/>
  <c r="N30" i="9" s="1"/>
  <c r="J30" i="9"/>
  <c r="B30" i="9"/>
  <c r="X29" i="9"/>
  <c r="Z29" i="9" s="1"/>
  <c r="N29" i="9"/>
  <c r="L29" i="9"/>
  <c r="B29" i="9"/>
  <c r="Z28" i="9"/>
  <c r="X28" i="9"/>
  <c r="V28" i="9"/>
  <c r="N28" i="9"/>
  <c r="L28" i="9"/>
  <c r="J28" i="9"/>
  <c r="B28" i="9"/>
  <c r="Z27" i="9"/>
  <c r="X27" i="9"/>
  <c r="V27" i="9"/>
  <c r="N27" i="9"/>
  <c r="L27" i="9"/>
  <c r="B27" i="9"/>
  <c r="Z26" i="9"/>
  <c r="X26" i="9"/>
  <c r="L26" i="9"/>
  <c r="N26" i="9" s="1"/>
  <c r="J26" i="9"/>
  <c r="B26" i="9"/>
  <c r="X25" i="9"/>
  <c r="Z25" i="9" s="1"/>
  <c r="N25" i="9"/>
  <c r="L25" i="9"/>
  <c r="B25" i="9"/>
  <c r="Z24" i="9"/>
  <c r="X24" i="9"/>
  <c r="V24" i="9"/>
  <c r="N24" i="9"/>
  <c r="L24" i="9"/>
  <c r="J24" i="9"/>
  <c r="B24" i="9"/>
  <c r="X23" i="9"/>
  <c r="Z23" i="9" s="1"/>
  <c r="V23" i="9"/>
  <c r="L23" i="9"/>
  <c r="N23" i="9" s="1"/>
  <c r="B23" i="9"/>
  <c r="Z22" i="9"/>
  <c r="X22" i="9"/>
  <c r="L22" i="9"/>
  <c r="N22" i="9" s="1"/>
  <c r="J22" i="9"/>
  <c r="B22" i="9"/>
  <c r="X21" i="9"/>
  <c r="Z21" i="9" s="1"/>
  <c r="N21" i="9"/>
  <c r="L21" i="9"/>
  <c r="B21" i="9"/>
  <c r="Z20" i="9"/>
  <c r="V20" i="9"/>
  <c r="T20" i="9"/>
  <c r="P20" i="9"/>
  <c r="X20" i="9" s="1"/>
  <c r="H20" i="9"/>
  <c r="D20" i="9"/>
  <c r="L20" i="9" s="1"/>
  <c r="N20" i="9" s="1"/>
  <c r="B20" i="9"/>
  <c r="T19" i="9"/>
  <c r="P19" i="9"/>
  <c r="X19" i="9" s="1"/>
  <c r="H19" i="9"/>
  <c r="D19" i="9"/>
  <c r="L19" i="9" s="1"/>
  <c r="N19" i="9" s="1"/>
  <c r="T17" i="9"/>
  <c r="T15" i="9"/>
  <c r="Z15" i="9" s="1"/>
  <c r="P15" i="9"/>
  <c r="X15" i="9" s="1"/>
  <c r="N15" i="9"/>
  <c r="H15" i="9"/>
  <c r="D15" i="9"/>
  <c r="L15" i="9" s="1"/>
  <c r="Z13" i="9"/>
  <c r="X13" i="9"/>
  <c r="P13" i="9"/>
  <c r="N13" i="9"/>
  <c r="D13" i="9"/>
  <c r="B13" i="9"/>
  <c r="T12" i="9"/>
  <c r="V91" i="9" s="1"/>
  <c r="P12" i="9"/>
  <c r="R98" i="9" s="1"/>
  <c r="N12" i="9"/>
  <c r="H12" i="9"/>
  <c r="J89" i="9" s="1"/>
  <c r="D4" i="9"/>
  <c r="T29" i="6"/>
  <c r="P29" i="6"/>
  <c r="X29" i="6" s="1"/>
  <c r="L29" i="6"/>
  <c r="H29" i="6"/>
  <c r="D29" i="6"/>
  <c r="T28" i="6"/>
  <c r="P28" i="6"/>
  <c r="X28" i="6" s="1"/>
  <c r="Z28" i="6" s="1"/>
  <c r="L28" i="6"/>
  <c r="H28" i="6"/>
  <c r="D28" i="6"/>
  <c r="R26" i="6"/>
  <c r="Z24" i="6"/>
  <c r="X24" i="6"/>
  <c r="N24" i="6"/>
  <c r="L24" i="6"/>
  <c r="F24" i="6"/>
  <c r="J22" i="6"/>
  <c r="X20" i="6"/>
  <c r="T20" i="6"/>
  <c r="Z20" i="6" s="1"/>
  <c r="P20" i="6"/>
  <c r="J20" i="6"/>
  <c r="H20" i="6"/>
  <c r="N20" i="6" s="1"/>
  <c r="D20" i="6"/>
  <c r="X18" i="6"/>
  <c r="T18" i="6"/>
  <c r="Z18" i="6" s="1"/>
  <c r="P18" i="6"/>
  <c r="J18" i="6"/>
  <c r="H18" i="6"/>
  <c r="N18" i="6" s="1"/>
  <c r="D18" i="6"/>
  <c r="L18" i="6" s="1"/>
  <c r="J16" i="6"/>
  <c r="T14" i="6"/>
  <c r="Z14" i="6" s="1"/>
  <c r="P14" i="6"/>
  <c r="J14" i="6"/>
  <c r="H14" i="6"/>
  <c r="N14" i="6" s="1"/>
  <c r="D14" i="6"/>
  <c r="X12" i="6"/>
  <c r="T12" i="6"/>
  <c r="Z12" i="6" s="1"/>
  <c r="P12" i="6"/>
  <c r="N12" i="6"/>
  <c r="H12" i="6"/>
  <c r="J31" i="6" s="1"/>
  <c r="D12" i="6"/>
  <c r="F31" i="6" s="1"/>
  <c r="D4" i="6"/>
  <c r="Z277" i="3"/>
  <c r="T277" i="3"/>
  <c r="P277" i="3"/>
  <c r="X277" i="3" s="1"/>
  <c r="H277" i="3"/>
  <c r="D277" i="3"/>
  <c r="L277" i="3" s="1"/>
  <c r="Z276" i="3"/>
  <c r="T276" i="3"/>
  <c r="P276" i="3"/>
  <c r="X276" i="3" s="1"/>
  <c r="H276" i="3"/>
  <c r="D276" i="3"/>
  <c r="L276" i="3" s="1"/>
  <c r="Z272" i="3"/>
  <c r="X272" i="3"/>
  <c r="N272" i="3"/>
  <c r="L272" i="3"/>
  <c r="Z268" i="3"/>
  <c r="X268" i="3"/>
  <c r="P268" i="3"/>
  <c r="N268" i="3"/>
  <c r="L268" i="3"/>
  <c r="D268" i="3"/>
  <c r="B268" i="3"/>
  <c r="Z267" i="3"/>
  <c r="P267" i="3"/>
  <c r="X267" i="3" s="1"/>
  <c r="N267" i="3"/>
  <c r="D267" i="3"/>
  <c r="L267" i="3" s="1"/>
  <c r="B267" i="3"/>
  <c r="P266" i="3"/>
  <c r="X266" i="3" s="1"/>
  <c r="Z266" i="3" s="1"/>
  <c r="L266" i="3"/>
  <c r="N266" i="3" s="1"/>
  <c r="D266" i="3"/>
  <c r="B266" i="3"/>
  <c r="Z265" i="3"/>
  <c r="P265" i="3"/>
  <c r="N265" i="3"/>
  <c r="D265" i="3"/>
  <c r="L265" i="3" s="1"/>
  <c r="B265" i="3"/>
  <c r="Z264" i="3"/>
  <c r="X264" i="3"/>
  <c r="P264" i="3"/>
  <c r="N264" i="3"/>
  <c r="L264" i="3"/>
  <c r="D264" i="3"/>
  <c r="B264" i="3"/>
  <c r="X263" i="3"/>
  <c r="Z263" i="3" s="1"/>
  <c r="P263" i="3"/>
  <c r="D263" i="3"/>
  <c r="L263" i="3" s="1"/>
  <c r="N263" i="3" s="1"/>
  <c r="B263" i="3"/>
  <c r="Z262" i="3"/>
  <c r="X262" i="3"/>
  <c r="P262" i="3"/>
  <c r="N262" i="3"/>
  <c r="J262" i="3"/>
  <c r="D262" i="3"/>
  <c r="L262" i="3" s="1"/>
  <c r="B262" i="3"/>
  <c r="T261" i="3"/>
  <c r="H261" i="3"/>
  <c r="D261" i="3"/>
  <c r="X259" i="3"/>
  <c r="Z259" i="3" s="1"/>
  <c r="N259" i="3"/>
  <c r="L259" i="3"/>
  <c r="B259" i="3"/>
  <c r="Z258" i="3"/>
  <c r="T258" i="3"/>
  <c r="P258" i="3"/>
  <c r="X258" i="3" s="1"/>
  <c r="N258" i="3"/>
  <c r="H258" i="3"/>
  <c r="D258" i="3"/>
  <c r="L258" i="3" s="1"/>
  <c r="B258" i="3"/>
  <c r="X257" i="3"/>
  <c r="Z257" i="3" s="1"/>
  <c r="L257" i="3"/>
  <c r="N257" i="3" s="1"/>
  <c r="B257" i="3"/>
  <c r="X256" i="3"/>
  <c r="Z256" i="3" s="1"/>
  <c r="N256" i="3"/>
  <c r="L256" i="3"/>
  <c r="B256" i="3"/>
  <c r="X255" i="3"/>
  <c r="Z255" i="3" s="1"/>
  <c r="N255" i="3"/>
  <c r="L255" i="3"/>
  <c r="B255" i="3"/>
  <c r="T254" i="3"/>
  <c r="P254" i="3"/>
  <c r="X254" i="3" s="1"/>
  <c r="Z254" i="3" s="1"/>
  <c r="L254" i="3"/>
  <c r="H254" i="3"/>
  <c r="N254" i="3" s="1"/>
  <c r="D254" i="3"/>
  <c r="B254" i="3"/>
  <c r="X253" i="3"/>
  <c r="Z253" i="3" s="1"/>
  <c r="N253" i="3"/>
  <c r="L253" i="3"/>
  <c r="B253" i="3"/>
  <c r="Z252" i="3"/>
  <c r="X252" i="3"/>
  <c r="T252" i="3"/>
  <c r="P252" i="3"/>
  <c r="H252" i="3"/>
  <c r="D252" i="3"/>
  <c r="B252" i="3"/>
  <c r="X251" i="3"/>
  <c r="Z251" i="3" s="1"/>
  <c r="N251" i="3"/>
  <c r="L251" i="3"/>
  <c r="B251" i="3"/>
  <c r="Z250" i="3"/>
  <c r="X250" i="3"/>
  <c r="N250" i="3"/>
  <c r="L250" i="3"/>
  <c r="B250" i="3"/>
  <c r="T249" i="3"/>
  <c r="P249" i="3"/>
  <c r="L249" i="3"/>
  <c r="H249" i="3"/>
  <c r="D249" i="3"/>
  <c r="B249" i="3"/>
  <c r="X248" i="3"/>
  <c r="Z248" i="3" s="1"/>
  <c r="V248" i="3"/>
  <c r="N248" i="3"/>
  <c r="L248" i="3"/>
  <c r="B248" i="3"/>
  <c r="X247" i="3"/>
  <c r="Z247" i="3" s="1"/>
  <c r="L247" i="3"/>
  <c r="N247" i="3" s="1"/>
  <c r="B247" i="3"/>
  <c r="Z246" i="3"/>
  <c r="X246" i="3"/>
  <c r="V246" i="3"/>
  <c r="N246" i="3"/>
  <c r="L246" i="3"/>
  <c r="B246" i="3"/>
  <c r="X245" i="3"/>
  <c r="Z245" i="3" s="1"/>
  <c r="L245" i="3"/>
  <c r="N245" i="3" s="1"/>
  <c r="B245" i="3"/>
  <c r="X244" i="3"/>
  <c r="Z244" i="3" s="1"/>
  <c r="N244" i="3"/>
  <c r="L244" i="3"/>
  <c r="J244" i="3"/>
  <c r="B244" i="3"/>
  <c r="X243" i="3"/>
  <c r="Z243" i="3" s="1"/>
  <c r="L243" i="3"/>
  <c r="N243" i="3" s="1"/>
  <c r="B243" i="3"/>
  <c r="Z242" i="3"/>
  <c r="X242" i="3"/>
  <c r="N242" i="3"/>
  <c r="L242" i="3"/>
  <c r="B242" i="3"/>
  <c r="X241" i="3"/>
  <c r="Z241" i="3" s="1"/>
  <c r="L241" i="3"/>
  <c r="N241" i="3" s="1"/>
  <c r="B241" i="3"/>
  <c r="X240" i="3"/>
  <c r="Z240" i="3" s="1"/>
  <c r="N240" i="3"/>
  <c r="L240" i="3"/>
  <c r="B240" i="3"/>
  <c r="X239" i="3"/>
  <c r="Z239" i="3" s="1"/>
  <c r="N239" i="3"/>
  <c r="L239" i="3"/>
  <c r="B239" i="3"/>
  <c r="Z238" i="3"/>
  <c r="X238" i="3"/>
  <c r="L238" i="3"/>
  <c r="N238" i="3" s="1"/>
  <c r="B238" i="3"/>
  <c r="T237" i="3"/>
  <c r="P237" i="3"/>
  <c r="H237" i="3"/>
  <c r="D237" i="3"/>
  <c r="L237" i="3" s="1"/>
  <c r="B237" i="3"/>
  <c r="Z236" i="3"/>
  <c r="X236" i="3"/>
  <c r="N236" i="3"/>
  <c r="L236" i="3"/>
  <c r="B236" i="3"/>
  <c r="Z235" i="3"/>
  <c r="X235" i="3"/>
  <c r="L235" i="3"/>
  <c r="N235" i="3" s="1"/>
  <c r="B235" i="3"/>
  <c r="T234" i="3"/>
  <c r="P234" i="3"/>
  <c r="N234" i="3"/>
  <c r="L234" i="3"/>
  <c r="J234" i="3"/>
  <c r="H234" i="3"/>
  <c r="D234" i="3"/>
  <c r="B234" i="3"/>
  <c r="Z233" i="3"/>
  <c r="X233" i="3"/>
  <c r="L233" i="3"/>
  <c r="N233" i="3" s="1"/>
  <c r="B233" i="3"/>
  <c r="Z232" i="3"/>
  <c r="X232" i="3"/>
  <c r="L232" i="3"/>
  <c r="N232" i="3" s="1"/>
  <c r="B232" i="3"/>
  <c r="X231" i="3"/>
  <c r="Z231" i="3" s="1"/>
  <c r="L231" i="3"/>
  <c r="N231" i="3" s="1"/>
  <c r="B231" i="3"/>
  <c r="Z230" i="3"/>
  <c r="X230" i="3"/>
  <c r="N230" i="3"/>
  <c r="L230" i="3"/>
  <c r="B230" i="3"/>
  <c r="Z229" i="3"/>
  <c r="X229" i="3"/>
  <c r="L229" i="3"/>
  <c r="N229" i="3" s="1"/>
  <c r="B229" i="3"/>
  <c r="T228" i="3"/>
  <c r="P228" i="3"/>
  <c r="X228" i="3" s="1"/>
  <c r="Z228" i="3" s="1"/>
  <c r="N228" i="3"/>
  <c r="L228" i="3"/>
  <c r="H228" i="3"/>
  <c r="D228" i="3"/>
  <c r="B228" i="3"/>
  <c r="X227" i="3"/>
  <c r="Z227" i="3" s="1"/>
  <c r="N227" i="3"/>
  <c r="L227" i="3"/>
  <c r="B227" i="3"/>
  <c r="Z226" i="3"/>
  <c r="X226" i="3"/>
  <c r="N226" i="3"/>
  <c r="L226" i="3"/>
  <c r="B226" i="3"/>
  <c r="X225" i="3"/>
  <c r="Z225" i="3" s="1"/>
  <c r="L225" i="3"/>
  <c r="N225" i="3" s="1"/>
  <c r="B225" i="3"/>
  <c r="X224" i="3"/>
  <c r="Z224" i="3" s="1"/>
  <c r="N224" i="3"/>
  <c r="L224" i="3"/>
  <c r="B224" i="3"/>
  <c r="T223" i="3"/>
  <c r="Z223" i="3" s="1"/>
  <c r="P223" i="3"/>
  <c r="X223" i="3" s="1"/>
  <c r="H223" i="3"/>
  <c r="D223" i="3"/>
  <c r="L223" i="3" s="1"/>
  <c r="B223" i="3"/>
  <c r="X222" i="3"/>
  <c r="Z222" i="3" s="1"/>
  <c r="N222" i="3"/>
  <c r="L222" i="3"/>
  <c r="B222" i="3"/>
  <c r="X221" i="3"/>
  <c r="Z221" i="3" s="1"/>
  <c r="N221" i="3"/>
  <c r="L221" i="3"/>
  <c r="B221" i="3"/>
  <c r="Z220" i="3"/>
  <c r="X220" i="3"/>
  <c r="N220" i="3"/>
  <c r="L220" i="3"/>
  <c r="B220" i="3"/>
  <c r="Z219" i="3"/>
  <c r="X219" i="3"/>
  <c r="N219" i="3"/>
  <c r="L219" i="3"/>
  <c r="B219" i="3"/>
  <c r="T218" i="3"/>
  <c r="P218" i="3"/>
  <c r="X218" i="3" s="1"/>
  <c r="H218" i="3"/>
  <c r="D218" i="3"/>
  <c r="L218" i="3" s="1"/>
  <c r="N218" i="3" s="1"/>
  <c r="B218" i="3"/>
  <c r="X217" i="3"/>
  <c r="Z217" i="3" s="1"/>
  <c r="V217" i="3"/>
  <c r="L217" i="3"/>
  <c r="N217" i="3" s="1"/>
  <c r="B217" i="3"/>
  <c r="T216" i="3"/>
  <c r="P216" i="3"/>
  <c r="X216" i="3" s="1"/>
  <c r="Z216" i="3" s="1"/>
  <c r="N216" i="3"/>
  <c r="L216" i="3"/>
  <c r="H216" i="3"/>
  <c r="D216" i="3"/>
  <c r="B216" i="3"/>
  <c r="Z215" i="3"/>
  <c r="X215" i="3"/>
  <c r="L215" i="3"/>
  <c r="N215" i="3" s="1"/>
  <c r="B215" i="3"/>
  <c r="T214" i="3"/>
  <c r="P214" i="3"/>
  <c r="X214" i="3" s="1"/>
  <c r="Z214" i="3" s="1"/>
  <c r="L214" i="3"/>
  <c r="H214" i="3"/>
  <c r="D214" i="3"/>
  <c r="B214" i="3"/>
  <c r="X213" i="3"/>
  <c r="Z213" i="3" s="1"/>
  <c r="N213" i="3"/>
  <c r="L213" i="3"/>
  <c r="B213" i="3"/>
  <c r="Z212" i="3"/>
  <c r="X212" i="3"/>
  <c r="T212" i="3"/>
  <c r="P212" i="3"/>
  <c r="H212" i="3"/>
  <c r="N212" i="3" s="1"/>
  <c r="D212" i="3"/>
  <c r="L212" i="3" s="1"/>
  <c r="B212" i="3"/>
  <c r="Z211" i="3"/>
  <c r="X211" i="3"/>
  <c r="N211" i="3"/>
  <c r="L211" i="3"/>
  <c r="B211" i="3"/>
  <c r="Z210" i="3"/>
  <c r="X210" i="3"/>
  <c r="N210" i="3"/>
  <c r="L210" i="3"/>
  <c r="B210" i="3"/>
  <c r="V209" i="3"/>
  <c r="T209" i="3"/>
  <c r="P209" i="3"/>
  <c r="H209" i="3"/>
  <c r="D209" i="3"/>
  <c r="B209" i="3"/>
  <c r="X208" i="3"/>
  <c r="Z208" i="3" s="1"/>
  <c r="N208" i="3"/>
  <c r="L208" i="3"/>
  <c r="J208" i="3"/>
  <c r="B208" i="3"/>
  <c r="T207" i="3"/>
  <c r="Z207" i="3" s="1"/>
  <c r="P207" i="3"/>
  <c r="X207" i="3" s="1"/>
  <c r="H207" i="3"/>
  <c r="D207" i="3"/>
  <c r="L207" i="3" s="1"/>
  <c r="B207" i="3"/>
  <c r="Z206" i="3"/>
  <c r="X206" i="3"/>
  <c r="N206" i="3"/>
  <c r="L206" i="3"/>
  <c r="B206" i="3"/>
  <c r="X205" i="3"/>
  <c r="T205" i="3"/>
  <c r="Z205" i="3" s="1"/>
  <c r="P205" i="3"/>
  <c r="H205" i="3"/>
  <c r="D205" i="3"/>
  <c r="L205" i="3" s="1"/>
  <c r="N205" i="3" s="1"/>
  <c r="B205" i="3"/>
  <c r="Z204" i="3"/>
  <c r="X204" i="3"/>
  <c r="L204" i="3"/>
  <c r="N204" i="3" s="1"/>
  <c r="B204" i="3"/>
  <c r="X203" i="3"/>
  <c r="Z203" i="3" s="1"/>
  <c r="N203" i="3"/>
  <c r="L203" i="3"/>
  <c r="B203" i="3"/>
  <c r="Z202" i="3"/>
  <c r="X202" i="3"/>
  <c r="V202" i="3"/>
  <c r="N202" i="3"/>
  <c r="L202" i="3"/>
  <c r="B202" i="3"/>
  <c r="T201" i="3"/>
  <c r="P201" i="3"/>
  <c r="X201" i="3" s="1"/>
  <c r="L201" i="3"/>
  <c r="H201" i="3"/>
  <c r="D201" i="3"/>
  <c r="B201" i="3"/>
  <c r="X200" i="3"/>
  <c r="Z200" i="3" s="1"/>
  <c r="V200" i="3"/>
  <c r="N200" i="3"/>
  <c r="L200" i="3"/>
  <c r="B200" i="3"/>
  <c r="X199" i="3"/>
  <c r="Z199" i="3" s="1"/>
  <c r="N199" i="3"/>
  <c r="L199" i="3"/>
  <c r="B199" i="3"/>
  <c r="V198" i="3"/>
  <c r="T198" i="3"/>
  <c r="P198" i="3"/>
  <c r="X198" i="3" s="1"/>
  <c r="Z198" i="3" s="1"/>
  <c r="L198" i="3"/>
  <c r="H198" i="3"/>
  <c r="N198" i="3" s="1"/>
  <c r="D198" i="3"/>
  <c r="B198" i="3"/>
  <c r="X197" i="3"/>
  <c r="Z197" i="3" s="1"/>
  <c r="L197" i="3"/>
  <c r="N197" i="3" s="1"/>
  <c r="B197" i="3"/>
  <c r="Z196" i="3"/>
  <c r="X196" i="3"/>
  <c r="T196" i="3"/>
  <c r="P196" i="3"/>
  <c r="H196" i="3"/>
  <c r="D196" i="3"/>
  <c r="L196" i="3" s="1"/>
  <c r="B196" i="3"/>
  <c r="X195" i="3"/>
  <c r="Z195" i="3" s="1"/>
  <c r="L195" i="3"/>
  <c r="N195" i="3" s="1"/>
  <c r="B195" i="3"/>
  <c r="Z194" i="3"/>
  <c r="T194" i="3"/>
  <c r="X194" i="3" s="1"/>
  <c r="P194" i="3"/>
  <c r="H194" i="3"/>
  <c r="D194" i="3"/>
  <c r="L194" i="3" s="1"/>
  <c r="N194" i="3" s="1"/>
  <c r="B194" i="3"/>
  <c r="X193" i="3"/>
  <c r="Z193" i="3" s="1"/>
  <c r="L193" i="3"/>
  <c r="N193" i="3" s="1"/>
  <c r="B193" i="3"/>
  <c r="Z192" i="3"/>
  <c r="X192" i="3"/>
  <c r="N192" i="3"/>
  <c r="L192" i="3"/>
  <c r="B192" i="3"/>
  <c r="T191" i="3"/>
  <c r="P191" i="3"/>
  <c r="X191" i="3" s="1"/>
  <c r="Z191" i="3" s="1"/>
  <c r="H191" i="3"/>
  <c r="D191" i="3"/>
  <c r="L191" i="3" s="1"/>
  <c r="B191" i="3"/>
  <c r="Z190" i="3"/>
  <c r="X190" i="3"/>
  <c r="N190" i="3"/>
  <c r="L190" i="3"/>
  <c r="J190" i="3"/>
  <c r="B190" i="3"/>
  <c r="X189" i="3"/>
  <c r="Z189" i="3" s="1"/>
  <c r="N189" i="3"/>
  <c r="L189" i="3"/>
  <c r="B189" i="3"/>
  <c r="T188" i="3"/>
  <c r="P188" i="3"/>
  <c r="X188" i="3" s="1"/>
  <c r="Z188" i="3" s="1"/>
  <c r="H188" i="3"/>
  <c r="D188" i="3"/>
  <c r="B188" i="3"/>
  <c r="X187" i="3"/>
  <c r="Z187" i="3" s="1"/>
  <c r="N187" i="3"/>
  <c r="L187" i="3"/>
  <c r="B187" i="3"/>
  <c r="Z186" i="3"/>
  <c r="X186" i="3"/>
  <c r="V186" i="3"/>
  <c r="N186" i="3"/>
  <c r="L186" i="3"/>
  <c r="B186" i="3"/>
  <c r="Z185" i="3"/>
  <c r="X185" i="3"/>
  <c r="N185" i="3"/>
  <c r="L185" i="3"/>
  <c r="B185" i="3"/>
  <c r="Z184" i="3"/>
  <c r="T184" i="3"/>
  <c r="P184" i="3"/>
  <c r="X184" i="3" s="1"/>
  <c r="N184" i="3"/>
  <c r="H184" i="3"/>
  <c r="D184" i="3"/>
  <c r="L184" i="3" s="1"/>
  <c r="B184" i="3"/>
  <c r="Z183" i="3"/>
  <c r="X183" i="3"/>
  <c r="L183" i="3"/>
  <c r="N183" i="3" s="1"/>
  <c r="B183" i="3"/>
  <c r="Z182" i="3"/>
  <c r="X182" i="3"/>
  <c r="T182" i="3"/>
  <c r="P182" i="3"/>
  <c r="L182" i="3"/>
  <c r="H182" i="3"/>
  <c r="N182" i="3" s="1"/>
  <c r="D182" i="3"/>
  <c r="B182" i="3"/>
  <c r="X181" i="3"/>
  <c r="Z181" i="3" s="1"/>
  <c r="N181" i="3"/>
  <c r="L181" i="3"/>
  <c r="B181" i="3"/>
  <c r="Z180" i="3"/>
  <c r="X180" i="3"/>
  <c r="N180" i="3"/>
  <c r="L180" i="3"/>
  <c r="B180" i="3"/>
  <c r="X179" i="3"/>
  <c r="T179" i="3"/>
  <c r="Z179" i="3" s="1"/>
  <c r="P179" i="3"/>
  <c r="L179" i="3"/>
  <c r="N179" i="3" s="1"/>
  <c r="H179" i="3"/>
  <c r="D179" i="3"/>
  <c r="B179" i="3"/>
  <c r="Z178" i="3"/>
  <c r="X178" i="3"/>
  <c r="V178" i="3"/>
  <c r="N178" i="3"/>
  <c r="L178" i="3"/>
  <c r="B178" i="3"/>
  <c r="T177" i="3"/>
  <c r="P177" i="3"/>
  <c r="H177" i="3"/>
  <c r="D177" i="3"/>
  <c r="B177" i="3"/>
  <c r="Z176" i="3"/>
  <c r="X176" i="3"/>
  <c r="N176" i="3"/>
  <c r="L176" i="3"/>
  <c r="B176" i="3"/>
  <c r="Z175" i="3"/>
  <c r="X175" i="3"/>
  <c r="N175" i="3"/>
  <c r="L175" i="3"/>
  <c r="B175" i="3"/>
  <c r="Z174" i="3"/>
  <c r="X174" i="3"/>
  <c r="N174" i="3"/>
  <c r="L174" i="3"/>
  <c r="B174" i="3"/>
  <c r="X173" i="3"/>
  <c r="Z173" i="3" s="1"/>
  <c r="N173" i="3"/>
  <c r="L173" i="3"/>
  <c r="B173" i="3"/>
  <c r="Z172" i="3"/>
  <c r="X172" i="3"/>
  <c r="N172" i="3"/>
  <c r="L172" i="3"/>
  <c r="B172" i="3"/>
  <c r="X171" i="3"/>
  <c r="Z171" i="3" s="1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X168" i="3"/>
  <c r="Z168" i="3" s="1"/>
  <c r="L168" i="3"/>
  <c r="N168" i="3" s="1"/>
  <c r="B168" i="3"/>
  <c r="X167" i="3"/>
  <c r="Z167" i="3" s="1"/>
  <c r="V167" i="3"/>
  <c r="N167" i="3"/>
  <c r="L167" i="3"/>
  <c r="B167" i="3"/>
  <c r="T166" i="3"/>
  <c r="P166" i="3"/>
  <c r="X166" i="3" s="1"/>
  <c r="Z166" i="3" s="1"/>
  <c r="L166" i="3"/>
  <c r="J166" i="3"/>
  <c r="H166" i="3"/>
  <c r="N166" i="3" s="1"/>
  <c r="D166" i="3"/>
  <c r="B166" i="3"/>
  <c r="Z165" i="3"/>
  <c r="X165" i="3"/>
  <c r="L165" i="3"/>
  <c r="N165" i="3" s="1"/>
  <c r="B165" i="3"/>
  <c r="Z164" i="3"/>
  <c r="X164" i="3"/>
  <c r="L164" i="3"/>
  <c r="N164" i="3" s="1"/>
  <c r="B164" i="3"/>
  <c r="X163" i="3"/>
  <c r="Z163" i="3" s="1"/>
  <c r="V163" i="3"/>
  <c r="L163" i="3"/>
  <c r="N163" i="3" s="1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L160" i="3"/>
  <c r="N160" i="3" s="1"/>
  <c r="B160" i="3"/>
  <c r="X159" i="3"/>
  <c r="Z159" i="3" s="1"/>
  <c r="V159" i="3"/>
  <c r="L159" i="3"/>
  <c r="N159" i="3" s="1"/>
  <c r="B159" i="3"/>
  <c r="Z158" i="3"/>
  <c r="X158" i="3"/>
  <c r="L158" i="3"/>
  <c r="N158" i="3" s="1"/>
  <c r="B158" i="3"/>
  <c r="Z157" i="3"/>
  <c r="X157" i="3"/>
  <c r="L157" i="3"/>
  <c r="N157" i="3" s="1"/>
  <c r="B157" i="3"/>
  <c r="Z156" i="3"/>
  <c r="X156" i="3"/>
  <c r="L156" i="3"/>
  <c r="N156" i="3" s="1"/>
  <c r="B156" i="3"/>
  <c r="X155" i="3"/>
  <c r="V155" i="3"/>
  <c r="T155" i="3"/>
  <c r="Z155" i="3" s="1"/>
  <c r="P155" i="3"/>
  <c r="H155" i="3"/>
  <c r="D155" i="3"/>
  <c r="L155" i="3" s="1"/>
  <c r="B155" i="3"/>
  <c r="X154" i="3"/>
  <c r="Z154" i="3" s="1"/>
  <c r="T154" i="3"/>
  <c r="P154" i="3"/>
  <c r="L154" i="3"/>
  <c r="H154" i="3"/>
  <c r="N154" i="3" s="1"/>
  <c r="D154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J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J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J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J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J132" i="3"/>
  <c r="B132" i="3"/>
  <c r="Z131" i="3"/>
  <c r="X131" i="3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J128" i="3"/>
  <c r="B128" i="3"/>
  <c r="Z127" i="3"/>
  <c r="X127" i="3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J124" i="3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J120" i="3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J116" i="3"/>
  <c r="B116" i="3"/>
  <c r="Z115" i="3"/>
  <c r="X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J112" i="3"/>
  <c r="B112" i="3"/>
  <c r="Z111" i="3"/>
  <c r="X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J108" i="3"/>
  <c r="B108" i="3"/>
  <c r="Z107" i="3"/>
  <c r="X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J104" i="3"/>
  <c r="B104" i="3"/>
  <c r="Z103" i="3"/>
  <c r="X103" i="3"/>
  <c r="N103" i="3"/>
  <c r="L103" i="3"/>
  <c r="B103" i="3"/>
  <c r="Z102" i="3"/>
  <c r="X102" i="3"/>
  <c r="N102" i="3"/>
  <c r="L102" i="3"/>
  <c r="B102" i="3"/>
  <c r="X101" i="3"/>
  <c r="Z101" i="3" s="1"/>
  <c r="N101" i="3"/>
  <c r="L101" i="3"/>
  <c r="B101" i="3"/>
  <c r="X100" i="3"/>
  <c r="T100" i="3"/>
  <c r="Z100" i="3" s="1"/>
  <c r="P100" i="3"/>
  <c r="L100" i="3"/>
  <c r="N100" i="3" s="1"/>
  <c r="H100" i="3"/>
  <c r="D100" i="3"/>
  <c r="Z98" i="3"/>
  <c r="X98" i="3"/>
  <c r="P98" i="3"/>
  <c r="N98" i="3"/>
  <c r="L98" i="3"/>
  <c r="D98" i="3"/>
  <c r="B98" i="3"/>
  <c r="Z97" i="3"/>
  <c r="X97" i="3"/>
  <c r="P97" i="3"/>
  <c r="N97" i="3"/>
  <c r="L97" i="3"/>
  <c r="D97" i="3"/>
  <c r="B97" i="3"/>
  <c r="Z96" i="3"/>
  <c r="P96" i="3"/>
  <c r="X96" i="3" s="1"/>
  <c r="N96" i="3"/>
  <c r="D96" i="3"/>
  <c r="L96" i="3" s="1"/>
  <c r="B96" i="3"/>
  <c r="Z95" i="3"/>
  <c r="P95" i="3"/>
  <c r="X95" i="3" s="1"/>
  <c r="N95" i="3"/>
  <c r="L95" i="3"/>
  <c r="D95" i="3"/>
  <c r="B95" i="3"/>
  <c r="Z94" i="3"/>
  <c r="P94" i="3"/>
  <c r="X94" i="3" s="1"/>
  <c r="N94" i="3"/>
  <c r="L94" i="3"/>
  <c r="D94" i="3"/>
  <c r="B94" i="3"/>
  <c r="Z93" i="3"/>
  <c r="P93" i="3"/>
  <c r="X93" i="3" s="1"/>
  <c r="N93" i="3"/>
  <c r="D93" i="3"/>
  <c r="L93" i="3" s="1"/>
  <c r="B93" i="3"/>
  <c r="Z92" i="3"/>
  <c r="X92" i="3"/>
  <c r="P92" i="3"/>
  <c r="N92" i="3"/>
  <c r="D92" i="3"/>
  <c r="L92" i="3" s="1"/>
  <c r="B92" i="3"/>
  <c r="Z91" i="3"/>
  <c r="X91" i="3"/>
  <c r="P91" i="3"/>
  <c r="N91" i="3"/>
  <c r="D91" i="3"/>
  <c r="L91" i="3" s="1"/>
  <c r="B91" i="3"/>
  <c r="Z90" i="3"/>
  <c r="P90" i="3"/>
  <c r="X90" i="3" s="1"/>
  <c r="N90" i="3"/>
  <c r="D90" i="3"/>
  <c r="L90" i="3" s="1"/>
  <c r="B90" i="3"/>
  <c r="Z89" i="3"/>
  <c r="X89" i="3"/>
  <c r="P89" i="3"/>
  <c r="N89" i="3"/>
  <c r="L89" i="3"/>
  <c r="D89" i="3"/>
  <c r="B89" i="3"/>
  <c r="Z88" i="3"/>
  <c r="X88" i="3"/>
  <c r="P88" i="3"/>
  <c r="N88" i="3"/>
  <c r="L88" i="3"/>
  <c r="D88" i="3"/>
  <c r="B88" i="3"/>
  <c r="Z87" i="3"/>
  <c r="P87" i="3"/>
  <c r="X87" i="3" s="1"/>
  <c r="N87" i="3"/>
  <c r="D87" i="3"/>
  <c r="L87" i="3" s="1"/>
  <c r="B87" i="3"/>
  <c r="Z86" i="3"/>
  <c r="X86" i="3"/>
  <c r="P86" i="3"/>
  <c r="N86" i="3"/>
  <c r="L86" i="3"/>
  <c r="D86" i="3"/>
  <c r="B86" i="3"/>
  <c r="Z85" i="3"/>
  <c r="X85" i="3"/>
  <c r="P85" i="3"/>
  <c r="N85" i="3"/>
  <c r="L85" i="3"/>
  <c r="D85" i="3"/>
  <c r="B85" i="3"/>
  <c r="Z84" i="3"/>
  <c r="P84" i="3"/>
  <c r="X84" i="3" s="1"/>
  <c r="N84" i="3"/>
  <c r="D84" i="3"/>
  <c r="L84" i="3" s="1"/>
  <c r="B84" i="3"/>
  <c r="Z83" i="3"/>
  <c r="P83" i="3"/>
  <c r="X83" i="3" s="1"/>
  <c r="N83" i="3"/>
  <c r="L83" i="3"/>
  <c r="D83" i="3"/>
  <c r="B83" i="3"/>
  <c r="Z82" i="3"/>
  <c r="P82" i="3"/>
  <c r="X82" i="3" s="1"/>
  <c r="N82" i="3"/>
  <c r="L82" i="3"/>
  <c r="D82" i="3"/>
  <c r="B82" i="3"/>
  <c r="Z81" i="3"/>
  <c r="P81" i="3"/>
  <c r="X81" i="3" s="1"/>
  <c r="N81" i="3"/>
  <c r="D81" i="3"/>
  <c r="L81" i="3" s="1"/>
  <c r="B81" i="3"/>
  <c r="Z80" i="3"/>
  <c r="X80" i="3"/>
  <c r="P80" i="3"/>
  <c r="N80" i="3"/>
  <c r="D80" i="3"/>
  <c r="L80" i="3" s="1"/>
  <c r="B80" i="3"/>
  <c r="Z79" i="3"/>
  <c r="X79" i="3"/>
  <c r="P79" i="3"/>
  <c r="N79" i="3"/>
  <c r="D79" i="3"/>
  <c r="L79" i="3" s="1"/>
  <c r="B79" i="3"/>
  <c r="Z78" i="3"/>
  <c r="P78" i="3"/>
  <c r="X78" i="3" s="1"/>
  <c r="N78" i="3"/>
  <c r="D78" i="3"/>
  <c r="L78" i="3" s="1"/>
  <c r="B78" i="3"/>
  <c r="Z77" i="3"/>
  <c r="X77" i="3"/>
  <c r="P77" i="3"/>
  <c r="N77" i="3"/>
  <c r="L77" i="3"/>
  <c r="D77" i="3"/>
  <c r="B77" i="3"/>
  <c r="Z76" i="3"/>
  <c r="X76" i="3"/>
  <c r="P76" i="3"/>
  <c r="N76" i="3"/>
  <c r="L76" i="3"/>
  <c r="D76" i="3"/>
  <c r="B76" i="3"/>
  <c r="Z75" i="3"/>
  <c r="P75" i="3"/>
  <c r="X75" i="3" s="1"/>
  <c r="N75" i="3"/>
  <c r="D75" i="3"/>
  <c r="L75" i="3" s="1"/>
  <c r="B75" i="3"/>
  <c r="Z74" i="3"/>
  <c r="X74" i="3"/>
  <c r="P74" i="3"/>
  <c r="N74" i="3"/>
  <c r="L74" i="3"/>
  <c r="D74" i="3"/>
  <c r="B74" i="3"/>
  <c r="Z73" i="3"/>
  <c r="X73" i="3"/>
  <c r="P73" i="3"/>
  <c r="N73" i="3"/>
  <c r="L73" i="3"/>
  <c r="D73" i="3"/>
  <c r="B73" i="3"/>
  <c r="Z72" i="3"/>
  <c r="P72" i="3"/>
  <c r="X72" i="3" s="1"/>
  <c r="N72" i="3"/>
  <c r="D72" i="3"/>
  <c r="L72" i="3" s="1"/>
  <c r="B72" i="3"/>
  <c r="Z71" i="3"/>
  <c r="P71" i="3"/>
  <c r="X71" i="3" s="1"/>
  <c r="N71" i="3"/>
  <c r="L71" i="3"/>
  <c r="D71" i="3"/>
  <c r="B71" i="3"/>
  <c r="Z70" i="3"/>
  <c r="P70" i="3"/>
  <c r="X70" i="3" s="1"/>
  <c r="N70" i="3"/>
  <c r="L70" i="3"/>
  <c r="D70" i="3"/>
  <c r="B70" i="3"/>
  <c r="Z69" i="3"/>
  <c r="P69" i="3"/>
  <c r="X69" i="3" s="1"/>
  <c r="N69" i="3"/>
  <c r="D69" i="3"/>
  <c r="L69" i="3" s="1"/>
  <c r="B69" i="3"/>
  <c r="Z68" i="3"/>
  <c r="X68" i="3"/>
  <c r="P68" i="3"/>
  <c r="N68" i="3"/>
  <c r="D68" i="3"/>
  <c r="L68" i="3" s="1"/>
  <c r="B68" i="3"/>
  <c r="Z67" i="3"/>
  <c r="X67" i="3"/>
  <c r="P67" i="3"/>
  <c r="N67" i="3"/>
  <c r="D67" i="3"/>
  <c r="L67" i="3" s="1"/>
  <c r="B67" i="3"/>
  <c r="Z66" i="3"/>
  <c r="P66" i="3"/>
  <c r="X66" i="3" s="1"/>
  <c r="N66" i="3"/>
  <c r="D66" i="3"/>
  <c r="L66" i="3" s="1"/>
  <c r="B66" i="3"/>
  <c r="Z65" i="3"/>
  <c r="X65" i="3"/>
  <c r="P65" i="3"/>
  <c r="N65" i="3"/>
  <c r="L65" i="3"/>
  <c r="D65" i="3"/>
  <c r="B65" i="3"/>
  <c r="Z64" i="3"/>
  <c r="X64" i="3"/>
  <c r="P64" i="3"/>
  <c r="N64" i="3"/>
  <c r="L64" i="3"/>
  <c r="D64" i="3"/>
  <c r="B64" i="3"/>
  <c r="Z63" i="3"/>
  <c r="P63" i="3"/>
  <c r="X63" i="3" s="1"/>
  <c r="N63" i="3"/>
  <c r="D63" i="3"/>
  <c r="L63" i="3" s="1"/>
  <c r="B63" i="3"/>
  <c r="Z62" i="3"/>
  <c r="X62" i="3"/>
  <c r="P62" i="3"/>
  <c r="N62" i="3"/>
  <c r="L62" i="3"/>
  <c r="D62" i="3"/>
  <c r="B62" i="3"/>
  <c r="Z61" i="3"/>
  <c r="X61" i="3"/>
  <c r="P61" i="3"/>
  <c r="N61" i="3"/>
  <c r="L61" i="3"/>
  <c r="D61" i="3"/>
  <c r="B61" i="3"/>
  <c r="Z60" i="3"/>
  <c r="P60" i="3"/>
  <c r="X60" i="3" s="1"/>
  <c r="N60" i="3"/>
  <c r="D60" i="3"/>
  <c r="L60" i="3" s="1"/>
  <c r="B60" i="3"/>
  <c r="Z59" i="3"/>
  <c r="P59" i="3"/>
  <c r="X59" i="3" s="1"/>
  <c r="N59" i="3"/>
  <c r="L59" i="3"/>
  <c r="D59" i="3"/>
  <c r="B59" i="3"/>
  <c r="Z58" i="3"/>
  <c r="P58" i="3"/>
  <c r="X58" i="3" s="1"/>
  <c r="N58" i="3"/>
  <c r="L58" i="3"/>
  <c r="D58" i="3"/>
  <c r="B58" i="3"/>
  <c r="Z57" i="3"/>
  <c r="P57" i="3"/>
  <c r="X57" i="3" s="1"/>
  <c r="N57" i="3"/>
  <c r="D57" i="3"/>
  <c r="L57" i="3" s="1"/>
  <c r="B57" i="3"/>
  <c r="Z56" i="3"/>
  <c r="X56" i="3"/>
  <c r="P56" i="3"/>
  <c r="N56" i="3"/>
  <c r="D56" i="3"/>
  <c r="L56" i="3" s="1"/>
  <c r="B56" i="3"/>
  <c r="Z55" i="3"/>
  <c r="X55" i="3"/>
  <c r="P55" i="3"/>
  <c r="N55" i="3"/>
  <c r="D55" i="3"/>
  <c r="L55" i="3" s="1"/>
  <c r="B55" i="3"/>
  <c r="Z54" i="3"/>
  <c r="P54" i="3"/>
  <c r="X54" i="3" s="1"/>
  <c r="N54" i="3"/>
  <c r="D54" i="3"/>
  <c r="L54" i="3" s="1"/>
  <c r="B54" i="3"/>
  <c r="Z53" i="3"/>
  <c r="X53" i="3"/>
  <c r="P53" i="3"/>
  <c r="N53" i="3"/>
  <c r="L53" i="3"/>
  <c r="D53" i="3"/>
  <c r="B53" i="3"/>
  <c r="Z52" i="3"/>
  <c r="X52" i="3"/>
  <c r="P52" i="3"/>
  <c r="N52" i="3"/>
  <c r="L52" i="3"/>
  <c r="D52" i="3"/>
  <c r="B52" i="3"/>
  <c r="Z51" i="3"/>
  <c r="P51" i="3"/>
  <c r="X51" i="3" s="1"/>
  <c r="N51" i="3"/>
  <c r="D51" i="3"/>
  <c r="L51" i="3" s="1"/>
  <c r="B51" i="3"/>
  <c r="Z50" i="3"/>
  <c r="X50" i="3"/>
  <c r="P50" i="3"/>
  <c r="N50" i="3"/>
  <c r="L50" i="3"/>
  <c r="D50" i="3"/>
  <c r="B50" i="3"/>
  <c r="Z49" i="3"/>
  <c r="X49" i="3"/>
  <c r="P49" i="3"/>
  <c r="N49" i="3"/>
  <c r="L49" i="3"/>
  <c r="D49" i="3"/>
  <c r="B49" i="3"/>
  <c r="Z48" i="3"/>
  <c r="P48" i="3"/>
  <c r="X48" i="3" s="1"/>
  <c r="N48" i="3"/>
  <c r="D48" i="3"/>
  <c r="L48" i="3" s="1"/>
  <c r="B48" i="3"/>
  <c r="Z47" i="3"/>
  <c r="P47" i="3"/>
  <c r="X47" i="3" s="1"/>
  <c r="N47" i="3"/>
  <c r="L47" i="3"/>
  <c r="D47" i="3"/>
  <c r="B47" i="3"/>
  <c r="Z46" i="3"/>
  <c r="P46" i="3"/>
  <c r="X46" i="3" s="1"/>
  <c r="N46" i="3"/>
  <c r="L46" i="3"/>
  <c r="D46" i="3"/>
  <c r="B46" i="3"/>
  <c r="Z45" i="3"/>
  <c r="P45" i="3"/>
  <c r="X45" i="3" s="1"/>
  <c r="N45" i="3"/>
  <c r="D45" i="3"/>
  <c r="L45" i="3" s="1"/>
  <c r="B45" i="3"/>
  <c r="Z44" i="3"/>
  <c r="X44" i="3"/>
  <c r="P44" i="3"/>
  <c r="N44" i="3"/>
  <c r="D44" i="3"/>
  <c r="L44" i="3" s="1"/>
  <c r="B44" i="3"/>
  <c r="Z43" i="3"/>
  <c r="X43" i="3"/>
  <c r="P43" i="3"/>
  <c r="D43" i="3"/>
  <c r="L43" i="3" s="1"/>
  <c r="N43" i="3" s="1"/>
  <c r="B43" i="3"/>
  <c r="Z42" i="3"/>
  <c r="P42" i="3"/>
  <c r="X42" i="3" s="1"/>
  <c r="N42" i="3"/>
  <c r="D42" i="3"/>
  <c r="L42" i="3" s="1"/>
  <c r="B42" i="3"/>
  <c r="Z41" i="3"/>
  <c r="X41" i="3"/>
  <c r="P41" i="3"/>
  <c r="N41" i="3"/>
  <c r="L41" i="3"/>
  <c r="D41" i="3"/>
  <c r="B41" i="3"/>
  <c r="Z40" i="3"/>
  <c r="X40" i="3"/>
  <c r="P40" i="3"/>
  <c r="N40" i="3"/>
  <c r="L40" i="3"/>
  <c r="D40" i="3"/>
  <c r="B40" i="3"/>
  <c r="Z39" i="3"/>
  <c r="P39" i="3"/>
  <c r="X39" i="3" s="1"/>
  <c r="N39" i="3"/>
  <c r="D39" i="3"/>
  <c r="L39" i="3" s="1"/>
  <c r="B39" i="3"/>
  <c r="Z38" i="3"/>
  <c r="X38" i="3"/>
  <c r="P38" i="3"/>
  <c r="N38" i="3"/>
  <c r="L38" i="3"/>
  <c r="D38" i="3"/>
  <c r="B38" i="3"/>
  <c r="Z37" i="3"/>
  <c r="X37" i="3"/>
  <c r="P37" i="3"/>
  <c r="N37" i="3"/>
  <c r="L37" i="3"/>
  <c r="D37" i="3"/>
  <c r="B37" i="3"/>
  <c r="Z36" i="3"/>
  <c r="P36" i="3"/>
  <c r="X36" i="3" s="1"/>
  <c r="N36" i="3"/>
  <c r="D36" i="3"/>
  <c r="L36" i="3" s="1"/>
  <c r="B36" i="3"/>
  <c r="Z35" i="3"/>
  <c r="P35" i="3"/>
  <c r="X35" i="3" s="1"/>
  <c r="N35" i="3"/>
  <c r="L35" i="3"/>
  <c r="D35" i="3"/>
  <c r="B35" i="3"/>
  <c r="Z34" i="3"/>
  <c r="P34" i="3"/>
  <c r="X34" i="3" s="1"/>
  <c r="N34" i="3"/>
  <c r="L34" i="3"/>
  <c r="D34" i="3"/>
  <c r="B34" i="3"/>
  <c r="Z33" i="3"/>
  <c r="P33" i="3"/>
  <c r="X33" i="3" s="1"/>
  <c r="N33" i="3"/>
  <c r="D33" i="3"/>
  <c r="L33" i="3" s="1"/>
  <c r="B33" i="3"/>
  <c r="Z32" i="3"/>
  <c r="X32" i="3"/>
  <c r="P32" i="3"/>
  <c r="N32" i="3"/>
  <c r="D32" i="3"/>
  <c r="L32" i="3" s="1"/>
  <c r="B32" i="3"/>
  <c r="Z31" i="3"/>
  <c r="X31" i="3"/>
  <c r="P31" i="3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X29" i="3"/>
  <c r="P29" i="3"/>
  <c r="N29" i="3"/>
  <c r="L29" i="3"/>
  <c r="D29" i="3"/>
  <c r="B29" i="3"/>
  <c r="Z28" i="3"/>
  <c r="X28" i="3"/>
  <c r="P28" i="3"/>
  <c r="N28" i="3"/>
  <c r="L28" i="3"/>
  <c r="D28" i="3"/>
  <c r="B28" i="3"/>
  <c r="Z27" i="3"/>
  <c r="P27" i="3"/>
  <c r="X27" i="3" s="1"/>
  <c r="N27" i="3"/>
  <c r="D27" i="3"/>
  <c r="L27" i="3" s="1"/>
  <c r="B27" i="3"/>
  <c r="Z26" i="3"/>
  <c r="X26" i="3"/>
  <c r="P26" i="3"/>
  <c r="N26" i="3"/>
  <c r="L26" i="3"/>
  <c r="D26" i="3"/>
  <c r="B26" i="3"/>
  <c r="Z25" i="3"/>
  <c r="X25" i="3"/>
  <c r="P25" i="3"/>
  <c r="N25" i="3"/>
  <c r="L25" i="3"/>
  <c r="D25" i="3"/>
  <c r="B25" i="3"/>
  <c r="Z24" i="3"/>
  <c r="P24" i="3"/>
  <c r="X24" i="3" s="1"/>
  <c r="N24" i="3"/>
  <c r="D24" i="3"/>
  <c r="L24" i="3" s="1"/>
  <c r="B24" i="3"/>
  <c r="Z23" i="3"/>
  <c r="P23" i="3"/>
  <c r="X23" i="3" s="1"/>
  <c r="N23" i="3"/>
  <c r="L23" i="3"/>
  <c r="D23" i="3"/>
  <c r="B23" i="3"/>
  <c r="Z22" i="3"/>
  <c r="P22" i="3"/>
  <c r="X22" i="3" s="1"/>
  <c r="N22" i="3"/>
  <c r="L22" i="3"/>
  <c r="D22" i="3"/>
  <c r="B22" i="3"/>
  <c r="Z21" i="3"/>
  <c r="P21" i="3"/>
  <c r="X21" i="3" s="1"/>
  <c r="N21" i="3"/>
  <c r="D21" i="3"/>
  <c r="L21" i="3" s="1"/>
  <c r="B21" i="3"/>
  <c r="Z20" i="3"/>
  <c r="X20" i="3"/>
  <c r="P20" i="3"/>
  <c r="N20" i="3"/>
  <c r="D20" i="3"/>
  <c r="L20" i="3" s="1"/>
  <c r="B20" i="3"/>
  <c r="Z19" i="3"/>
  <c r="X19" i="3"/>
  <c r="P19" i="3"/>
  <c r="N19" i="3"/>
  <c r="D19" i="3"/>
  <c r="L19" i="3" s="1"/>
  <c r="B19" i="3"/>
  <c r="Z18" i="3"/>
  <c r="P18" i="3"/>
  <c r="X18" i="3" s="1"/>
  <c r="N18" i="3"/>
  <c r="D18" i="3"/>
  <c r="L18" i="3" s="1"/>
  <c r="B18" i="3"/>
  <c r="Z17" i="3"/>
  <c r="X17" i="3"/>
  <c r="P17" i="3"/>
  <c r="N17" i="3"/>
  <c r="L17" i="3"/>
  <c r="D17" i="3"/>
  <c r="B17" i="3"/>
  <c r="Z16" i="3"/>
  <c r="X16" i="3"/>
  <c r="P16" i="3"/>
  <c r="N16" i="3"/>
  <c r="L16" i="3"/>
  <c r="D16" i="3"/>
  <c r="B16" i="3"/>
  <c r="Z15" i="3"/>
  <c r="P15" i="3"/>
  <c r="P12" i="3" s="1"/>
  <c r="N15" i="3"/>
  <c r="D15" i="3"/>
  <c r="L15" i="3" s="1"/>
  <c r="B15" i="3"/>
  <c r="Z14" i="3"/>
  <c r="X14" i="3"/>
  <c r="P14" i="3"/>
  <c r="N14" i="3"/>
  <c r="L14" i="3"/>
  <c r="D14" i="3"/>
  <c r="D12" i="3" s="1"/>
  <c r="B14" i="3"/>
  <c r="Z13" i="3"/>
  <c r="X13" i="3"/>
  <c r="P13" i="3"/>
  <c r="L13" i="3"/>
  <c r="N13" i="3" s="1"/>
  <c r="D13" i="3"/>
  <c r="B13" i="3"/>
  <c r="T12" i="3"/>
  <c r="V250" i="3" s="1"/>
  <c r="H12" i="3"/>
  <c r="J253" i="3" s="1"/>
  <c r="D4" i="3"/>
  <c r="B39" i="100"/>
  <c r="H24" i="100"/>
  <c r="H22" i="100"/>
  <c r="H13" i="100"/>
  <c r="D5" i="100"/>
  <c r="P20" i="99"/>
  <c r="P16" i="99"/>
  <c r="D12" i="99"/>
  <c r="P24" i="98"/>
  <c r="P22" i="98"/>
  <c r="T20" i="98"/>
  <c r="T16" i="98"/>
  <c r="T13" i="98"/>
  <c r="B38" i="100"/>
  <c r="D34" i="100"/>
  <c r="D33" i="100"/>
  <c r="D29" i="100"/>
  <c r="D25" i="100"/>
  <c r="H21" i="100"/>
  <c r="D13" i="100"/>
  <c r="D4" i="100"/>
  <c r="H34" i="99"/>
  <c r="H33" i="99"/>
  <c r="H29" i="99"/>
  <c r="H25" i="99"/>
  <c r="P15" i="99"/>
  <c r="D6" i="99"/>
  <c r="P21" i="98"/>
  <c r="T15" i="98"/>
  <c r="P13" i="98"/>
  <c r="H12" i="98"/>
  <c r="B25" i="100"/>
  <c r="D24" i="100"/>
  <c r="D22" i="100"/>
  <c r="H20" i="100"/>
  <c r="H16" i="100"/>
  <c r="B13" i="100"/>
  <c r="B39" i="99"/>
  <c r="H24" i="99"/>
  <c r="H22" i="99"/>
  <c r="H13" i="99"/>
  <c r="D5" i="99"/>
  <c r="P20" i="98"/>
  <c r="P16" i="98"/>
  <c r="D12" i="98"/>
  <c r="B22" i="100"/>
  <c r="D21" i="100"/>
  <c r="H15" i="100"/>
  <c r="B38" i="99"/>
  <c r="D34" i="99"/>
  <c r="D33" i="99"/>
  <c r="D29" i="99"/>
  <c r="D25" i="99"/>
  <c r="H21" i="99"/>
  <c r="D13" i="99"/>
  <c r="D4" i="99"/>
  <c r="H34" i="98"/>
  <c r="H33" i="98"/>
  <c r="H29" i="98"/>
  <c r="H25" i="98"/>
  <c r="P15" i="98"/>
  <c r="D6" i="98"/>
  <c r="B21" i="100"/>
  <c r="D20" i="100"/>
  <c r="D16" i="100"/>
  <c r="B25" i="99"/>
  <c r="D24" i="99"/>
  <c r="D22" i="99"/>
  <c r="H20" i="99"/>
  <c r="H16" i="99"/>
  <c r="B13" i="99"/>
  <c r="B39" i="98"/>
  <c r="H24" i="98"/>
  <c r="H22" i="98"/>
  <c r="H13" i="98"/>
  <c r="D5" i="98"/>
  <c r="T34" i="100"/>
  <c r="T33" i="100"/>
  <c r="T29" i="100"/>
  <c r="T25" i="100"/>
  <c r="B16" i="100"/>
  <c r="D15" i="100"/>
  <c r="T12" i="100"/>
  <c r="B22" i="99"/>
  <c r="D21" i="99"/>
  <c r="H15" i="99"/>
  <c r="B38" i="98"/>
  <c r="D34" i="98"/>
  <c r="D33" i="98"/>
  <c r="D29" i="98"/>
  <c r="D25" i="98"/>
  <c r="H21" i="98"/>
  <c r="D13" i="98"/>
  <c r="D4" i="98"/>
  <c r="P24" i="100"/>
  <c r="P22" i="100"/>
  <c r="T20" i="100"/>
  <c r="T16" i="100"/>
  <c r="T13" i="100"/>
  <c r="T24" i="99"/>
  <c r="T22" i="99"/>
  <c r="P12" i="99"/>
  <c r="B21" i="98"/>
  <c r="D20" i="98"/>
  <c r="D16" i="98"/>
  <c r="P20" i="100"/>
  <c r="P16" i="100"/>
  <c r="D12" i="100"/>
  <c r="P24" i="99"/>
  <c r="P22" i="99"/>
  <c r="T20" i="99"/>
  <c r="T16" i="99"/>
  <c r="T13" i="99"/>
  <c r="T24" i="98"/>
  <c r="T22" i="98"/>
  <c r="P12" i="98"/>
  <c r="P12" i="100"/>
  <c r="D20" i="99"/>
  <c r="B25" i="98"/>
  <c r="H16" i="98"/>
  <c r="P25" i="100"/>
  <c r="T21" i="100"/>
  <c r="T33" i="99"/>
  <c r="D15" i="99"/>
  <c r="D21" i="98"/>
  <c r="P21" i="100"/>
  <c r="H12" i="100"/>
  <c r="P33" i="99"/>
  <c r="T34" i="98"/>
  <c r="T29" i="98"/>
  <c r="B16" i="98"/>
  <c r="H25" i="100"/>
  <c r="D6" i="100"/>
  <c r="P13" i="99"/>
  <c r="P34" i="98"/>
  <c r="P29" i="98"/>
  <c r="T24" i="100"/>
  <c r="D24" i="98"/>
  <c r="H20" i="98"/>
  <c r="T15" i="100"/>
  <c r="P25" i="99"/>
  <c r="T21" i="99"/>
  <c r="T33" i="98"/>
  <c r="D15" i="98"/>
  <c r="T22" i="100"/>
  <c r="B21" i="99"/>
  <c r="D16" i="99"/>
  <c r="D22" i="98"/>
  <c r="B13" i="98"/>
  <c r="P34" i="100"/>
  <c r="H34" i="100"/>
  <c r="T15" i="99"/>
  <c r="P33" i="100"/>
  <c r="T12" i="99"/>
  <c r="T34" i="99"/>
  <c r="H12" i="99"/>
  <c r="T25" i="98"/>
  <c r="H15" i="98"/>
  <c r="H33" i="100"/>
  <c r="P34" i="99"/>
  <c r="P25" i="98"/>
  <c r="P29" i="100"/>
  <c r="P21" i="99"/>
  <c r="T29" i="99"/>
  <c r="P33" i="98"/>
  <c r="P15" i="100"/>
  <c r="P29" i="99"/>
  <c r="T21" i="98"/>
  <c r="H29" i="100"/>
  <c r="B22" i="98"/>
  <c r="P13" i="100"/>
  <c r="T12" i="98"/>
  <c r="T25" i="99"/>
  <c r="B16" i="99"/>
  <c r="T34" i="53"/>
  <c r="T33" i="53"/>
  <c r="T29" i="53"/>
  <c r="T25" i="53"/>
  <c r="B16" i="53"/>
  <c r="D15" i="53"/>
  <c r="T12" i="53"/>
  <c r="B21" i="52"/>
  <c r="D20" i="52"/>
  <c r="D16" i="52"/>
  <c r="H34" i="50"/>
  <c r="H33" i="50"/>
  <c r="H29" i="50"/>
  <c r="H25" i="50"/>
  <c r="T24" i="53"/>
  <c r="T22" i="53"/>
  <c r="P12" i="53"/>
  <c r="T34" i="52"/>
  <c r="T33" i="52"/>
  <c r="T29" i="52"/>
  <c r="T25" i="52"/>
  <c r="B16" i="52"/>
  <c r="D15" i="52"/>
  <c r="T12" i="52"/>
  <c r="B39" i="50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B22" i="50"/>
  <c r="D21" i="50"/>
  <c r="P20" i="53"/>
  <c r="P16" i="53"/>
  <c r="D12" i="53"/>
  <c r="P21" i="52"/>
  <c r="T15" i="52"/>
  <c r="P13" i="52"/>
  <c r="H12" i="52"/>
  <c r="B21" i="50"/>
  <c r="D20" i="50"/>
  <c r="H34" i="53"/>
  <c r="H33" i="53"/>
  <c r="H29" i="53"/>
  <c r="H25" i="53"/>
  <c r="P15" i="53"/>
  <c r="D5" i="53"/>
  <c r="P20" i="52"/>
  <c r="P16" i="52"/>
  <c r="D12" i="52"/>
  <c r="B39" i="53"/>
  <c r="H24" i="53"/>
  <c r="H22" i="53"/>
  <c r="H13" i="53"/>
  <c r="D4" i="53"/>
  <c r="H34" i="52"/>
  <c r="H33" i="52"/>
  <c r="H29" i="52"/>
  <c r="H25" i="52"/>
  <c r="P15" i="52"/>
  <c r="D5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2" i="53"/>
  <c r="D21" i="53"/>
  <c r="H15" i="53"/>
  <c r="B25" i="52"/>
  <c r="D24" i="52"/>
  <c r="D22" i="52"/>
  <c r="H20" i="52"/>
  <c r="H16" i="52"/>
  <c r="B13" i="52"/>
  <c r="P21" i="50"/>
  <c r="D16" i="53"/>
  <c r="B22" i="52"/>
  <c r="B38" i="50"/>
  <c r="D34" i="50"/>
  <c r="T24" i="50"/>
  <c r="H22" i="50"/>
  <c r="T16" i="50"/>
  <c r="T13" i="50"/>
  <c r="P34" i="49"/>
  <c r="P33" i="49"/>
  <c r="P29" i="49"/>
  <c r="P25" i="49"/>
  <c r="T21" i="49"/>
  <c r="T24" i="47"/>
  <c r="T22" i="47"/>
  <c r="P12" i="47"/>
  <c r="T34" i="46"/>
  <c r="T33" i="46"/>
  <c r="T29" i="46"/>
  <c r="T25" i="46"/>
  <c r="B16" i="46"/>
  <c r="D15" i="46"/>
  <c r="T12" i="46"/>
  <c r="D24" i="53"/>
  <c r="H21" i="52"/>
  <c r="T15" i="50"/>
  <c r="P13" i="50"/>
  <c r="H12" i="50"/>
  <c r="P24" i="49"/>
  <c r="P22" i="49"/>
  <c r="T20" i="49"/>
  <c r="T16" i="49"/>
  <c r="T13" i="49"/>
  <c r="P34" i="47"/>
  <c r="P33" i="47"/>
  <c r="P29" i="47"/>
  <c r="P25" i="47"/>
  <c r="T21" i="47"/>
  <c r="T24" i="46"/>
  <c r="T22" i="46"/>
  <c r="P12" i="46"/>
  <c r="D21" i="52"/>
  <c r="T33" i="50"/>
  <c r="T29" i="50"/>
  <c r="P24" i="50"/>
  <c r="D22" i="50"/>
  <c r="P16" i="50"/>
  <c r="D12" i="50"/>
  <c r="P21" i="49"/>
  <c r="T15" i="49"/>
  <c r="P13" i="49"/>
  <c r="H12" i="49"/>
  <c r="P24" i="47"/>
  <c r="P22" i="47"/>
  <c r="T20" i="47"/>
  <c r="T16" i="47"/>
  <c r="T13" i="47"/>
  <c r="P34" i="46"/>
  <c r="P33" i="46"/>
  <c r="P29" i="46"/>
  <c r="P25" i="46"/>
  <c r="T21" i="46"/>
  <c r="D22" i="53"/>
  <c r="B13" i="53"/>
  <c r="D29" i="52"/>
  <c r="P33" i="50"/>
  <c r="P29" i="50"/>
  <c r="T25" i="50"/>
  <c r="T20" i="50"/>
  <c r="P15" i="50"/>
  <c r="D5" i="50"/>
  <c r="P20" i="49"/>
  <c r="P16" i="49"/>
  <c r="D12" i="49"/>
  <c r="H24" i="50"/>
  <c r="P20" i="50"/>
  <c r="H13" i="50"/>
  <c r="D4" i="50"/>
  <c r="H34" i="49"/>
  <c r="H33" i="49"/>
  <c r="H29" i="49"/>
  <c r="H25" i="49"/>
  <c r="P15" i="49"/>
  <c r="D5" i="49"/>
  <c r="P20" i="47"/>
  <c r="P16" i="47"/>
  <c r="D12" i="47"/>
  <c r="P21" i="46"/>
  <c r="T15" i="46"/>
  <c r="P13" i="46"/>
  <c r="H12" i="46"/>
  <c r="B38" i="52"/>
  <c r="P25" i="50"/>
  <c r="T21" i="50"/>
  <c r="D13" i="50"/>
  <c r="B39" i="49"/>
  <c r="H24" i="49"/>
  <c r="H22" i="49"/>
  <c r="H13" i="49"/>
  <c r="D4" i="49"/>
  <c r="H34" i="47"/>
  <c r="H33" i="47"/>
  <c r="H29" i="47"/>
  <c r="H25" i="47"/>
  <c r="P15" i="47"/>
  <c r="D5" i="47"/>
  <c r="P20" i="46"/>
  <c r="P16" i="46"/>
  <c r="D12" i="46"/>
  <c r="B21" i="53"/>
  <c r="D33" i="50"/>
  <c r="D29" i="50"/>
  <c r="D24" i="50"/>
  <c r="H16" i="50"/>
  <c r="B13" i="50"/>
  <c r="B38" i="49"/>
  <c r="D34" i="49"/>
  <c r="D33" i="49"/>
  <c r="D29" i="49"/>
  <c r="D25" i="49"/>
  <c r="H21" i="49"/>
  <c r="D13" i="49"/>
  <c r="H20" i="53"/>
  <c r="D25" i="52"/>
  <c r="H15" i="50"/>
  <c r="B25" i="49"/>
  <c r="D24" i="49"/>
  <c r="D22" i="49"/>
  <c r="H20" i="49"/>
  <c r="H16" i="49"/>
  <c r="B13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D20" i="53"/>
  <c r="T34" i="50"/>
  <c r="T22" i="50"/>
  <c r="H20" i="50"/>
  <c r="D16" i="50"/>
  <c r="B22" i="49"/>
  <c r="D21" i="49"/>
  <c r="H15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H15" i="52"/>
  <c r="B25" i="50"/>
  <c r="P22" i="50"/>
  <c r="H21" i="50"/>
  <c r="P12" i="50"/>
  <c r="T34" i="49"/>
  <c r="T33" i="49"/>
  <c r="T29" i="49"/>
  <c r="T25" i="49"/>
  <c r="B16" i="49"/>
  <c r="D15" i="49"/>
  <c r="T12" i="49"/>
  <c r="B21" i="47"/>
  <c r="D20" i="47"/>
  <c r="D16" i="47"/>
  <c r="B22" i="46"/>
  <c r="D21" i="46"/>
  <c r="H15" i="46"/>
  <c r="H16" i="53"/>
  <c r="D21" i="47"/>
  <c r="D22" i="46"/>
  <c r="B13" i="46"/>
  <c r="H33" i="44"/>
  <c r="H24" i="44"/>
  <c r="H22" i="44"/>
  <c r="H13" i="44"/>
  <c r="D4" i="44"/>
  <c r="H34" i="43"/>
  <c r="H33" i="43"/>
  <c r="H29" i="43"/>
  <c r="H25" i="43"/>
  <c r="P15" i="43"/>
  <c r="D5" i="43"/>
  <c r="D34" i="52"/>
  <c r="T34" i="47"/>
  <c r="T29" i="47"/>
  <c r="B16" i="47"/>
  <c r="D29" i="44"/>
  <c r="D25" i="44"/>
  <c r="H21" i="44"/>
  <c r="D13" i="44"/>
  <c r="B39" i="43"/>
  <c r="H24" i="43"/>
  <c r="H22" i="43"/>
  <c r="H13" i="43"/>
  <c r="D4" i="43"/>
  <c r="B39" i="41"/>
  <c r="H24" i="41"/>
  <c r="H22" i="41"/>
  <c r="H13" i="41"/>
  <c r="D4" i="41"/>
  <c r="H34" i="40"/>
  <c r="H33" i="40"/>
  <c r="H29" i="40"/>
  <c r="H25" i="40"/>
  <c r="P15" i="40"/>
  <c r="D5" i="40"/>
  <c r="D33" i="52"/>
  <c r="T15" i="47"/>
  <c r="T16" i="46"/>
  <c r="H34" i="44"/>
  <c r="D33" i="44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P34" i="50"/>
  <c r="D16" i="49"/>
  <c r="H24" i="47"/>
  <c r="H25" i="46"/>
  <c r="D5" i="46"/>
  <c r="B22" i="44"/>
  <c r="D21" i="44"/>
  <c r="H15" i="44"/>
  <c r="B25" i="43"/>
  <c r="D24" i="43"/>
  <c r="D22" i="43"/>
  <c r="H20" i="43"/>
  <c r="H16" i="43"/>
  <c r="B13" i="43"/>
  <c r="T24" i="49"/>
  <c r="H15" i="47"/>
  <c r="B25" i="46"/>
  <c r="H16" i="46"/>
  <c r="D34" i="44"/>
  <c r="B21" i="44"/>
  <c r="D20" i="44"/>
  <c r="D16" i="44"/>
  <c r="B22" i="43"/>
  <c r="D21" i="43"/>
  <c r="H15" i="43"/>
  <c r="B22" i="41"/>
  <c r="D21" i="41"/>
  <c r="H15" i="41"/>
  <c r="B25" i="40"/>
  <c r="D24" i="40"/>
  <c r="D22" i="40"/>
  <c r="H20" i="40"/>
  <c r="H16" i="40"/>
  <c r="B13" i="40"/>
  <c r="T33" i="47"/>
  <c r="D15" i="47"/>
  <c r="B21" i="46"/>
  <c r="D16" i="46"/>
  <c r="T29" i="44"/>
  <c r="T25" i="44"/>
  <c r="B16" i="44"/>
  <c r="D15" i="44"/>
  <c r="T12" i="44"/>
  <c r="B21" i="43"/>
  <c r="D20" i="43"/>
  <c r="D16" i="43"/>
  <c r="B21" i="41"/>
  <c r="D20" i="41"/>
  <c r="D16" i="41"/>
  <c r="B22" i="40"/>
  <c r="D21" i="40"/>
  <c r="H15" i="40"/>
  <c r="D13" i="52"/>
  <c r="T22" i="49"/>
  <c r="P13" i="47"/>
  <c r="P24" i="46"/>
  <c r="T20" i="46"/>
  <c r="T33" i="44"/>
  <c r="T24" i="44"/>
  <c r="T22" i="44"/>
  <c r="P12" i="44"/>
  <c r="T34" i="43"/>
  <c r="T33" i="43"/>
  <c r="T29" i="43"/>
  <c r="T25" i="43"/>
  <c r="B16" i="43"/>
  <c r="D15" i="43"/>
  <c r="T12" i="43"/>
  <c r="B16" i="50"/>
  <c r="B39" i="47"/>
  <c r="H22" i="47"/>
  <c r="H13" i="47"/>
  <c r="H34" i="46"/>
  <c r="H29" i="46"/>
  <c r="P15" i="46"/>
  <c r="B39" i="44"/>
  <c r="P29" i="44"/>
  <c r="P25" i="44"/>
  <c r="T21" i="44"/>
  <c r="T24" i="43"/>
  <c r="T22" i="43"/>
  <c r="P12" i="43"/>
  <c r="T24" i="41"/>
  <c r="T22" i="41"/>
  <c r="P12" i="41"/>
  <c r="T34" i="40"/>
  <c r="T33" i="40"/>
  <c r="T29" i="40"/>
  <c r="T25" i="40"/>
  <c r="B16" i="40"/>
  <c r="D15" i="40"/>
  <c r="T12" i="40"/>
  <c r="P12" i="49"/>
  <c r="B22" i="47"/>
  <c r="D24" i="46"/>
  <c r="H20" i="46"/>
  <c r="B38" i="44"/>
  <c r="T34" i="44"/>
  <c r="P33" i="44"/>
  <c r="P24" i="44"/>
  <c r="P22" i="44"/>
  <c r="T20" i="44"/>
  <c r="T16" i="44"/>
  <c r="T13" i="44"/>
  <c r="P34" i="43"/>
  <c r="P33" i="43"/>
  <c r="P29" i="43"/>
  <c r="P25" i="43"/>
  <c r="T21" i="43"/>
  <c r="P34" i="41"/>
  <c r="P33" i="41"/>
  <c r="P29" i="41"/>
  <c r="P25" i="41"/>
  <c r="T21" i="41"/>
  <c r="B25" i="53"/>
  <c r="P21" i="47"/>
  <c r="H12" i="47"/>
  <c r="P22" i="46"/>
  <c r="T13" i="46"/>
  <c r="P34" i="44"/>
  <c r="P20" i="44"/>
  <c r="P16" i="44"/>
  <c r="D12" i="44"/>
  <c r="P21" i="43"/>
  <c r="T15" i="43"/>
  <c r="P13" i="43"/>
  <c r="H12" i="43"/>
  <c r="P21" i="41"/>
  <c r="T15" i="41"/>
  <c r="P13" i="41"/>
  <c r="H12" i="41"/>
  <c r="P24" i="40"/>
  <c r="P22" i="40"/>
  <c r="T20" i="40"/>
  <c r="T16" i="40"/>
  <c r="T13" i="40"/>
  <c r="D15" i="50"/>
  <c r="D20" i="46"/>
  <c r="P21" i="44"/>
  <c r="H12" i="44"/>
  <c r="P24" i="41"/>
  <c r="D15" i="41"/>
  <c r="B21" i="40"/>
  <c r="T12" i="50"/>
  <c r="D5" i="44"/>
  <c r="H33" i="41"/>
  <c r="T22" i="40"/>
  <c r="T16" i="43"/>
  <c r="T16" i="41"/>
  <c r="T13" i="41"/>
  <c r="P33" i="40"/>
  <c r="P29" i="40"/>
  <c r="P25" i="40"/>
  <c r="P34" i="38"/>
  <c r="H29" i="44"/>
  <c r="P16" i="43"/>
  <c r="B21" i="49"/>
  <c r="T12" i="47"/>
  <c r="P24" i="43"/>
  <c r="P20" i="41"/>
  <c r="P20" i="40"/>
  <c r="P16" i="40"/>
  <c r="D20" i="49"/>
  <c r="D4" i="47"/>
  <c r="T34" i="41"/>
  <c r="P22" i="41"/>
  <c r="H16" i="41"/>
  <c r="B13" i="41"/>
  <c r="D33" i="40"/>
  <c r="D29" i="40"/>
  <c r="D25" i="40"/>
  <c r="D13" i="40"/>
  <c r="P22" i="43"/>
  <c r="T13" i="43"/>
  <c r="T25" i="41"/>
  <c r="H20" i="41"/>
  <c r="B16" i="41"/>
  <c r="T12" i="41"/>
  <c r="D20" i="40"/>
  <c r="D16" i="40"/>
  <c r="H33" i="46"/>
  <c r="H25" i="44"/>
  <c r="T24" i="40"/>
  <c r="P12" i="40"/>
  <c r="D25" i="50"/>
  <c r="T25" i="47"/>
  <c r="P13" i="44"/>
  <c r="T20" i="43"/>
  <c r="T33" i="41"/>
  <c r="B25" i="41"/>
  <c r="P15" i="41"/>
  <c r="D5" i="41"/>
  <c r="D12" i="40"/>
  <c r="P20" i="43"/>
  <c r="H29" i="41"/>
  <c r="B38" i="40"/>
  <c r="D34" i="40"/>
  <c r="H21" i="40"/>
  <c r="T29" i="41"/>
  <c r="H34" i="38"/>
  <c r="H33" i="38"/>
  <c r="H29" i="38"/>
  <c r="H25" i="38"/>
  <c r="P15" i="38"/>
  <c r="D5" i="38"/>
  <c r="P20" i="37"/>
  <c r="P16" i="37"/>
  <c r="D12" i="37"/>
  <c r="B22" i="35"/>
  <c r="D21" i="35"/>
  <c r="H15" i="35"/>
  <c r="B25" i="34"/>
  <c r="D24" i="34"/>
  <c r="D22" i="34"/>
  <c r="H20" i="34"/>
  <c r="H16" i="34"/>
  <c r="B13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15" i="40"/>
  <c r="H24" i="38"/>
  <c r="H22" i="38"/>
  <c r="H13" i="38"/>
  <c r="D4" i="38"/>
  <c r="H34" i="37"/>
  <c r="H33" i="37"/>
  <c r="H29" i="37"/>
  <c r="H25" i="37"/>
  <c r="P15" i="37"/>
  <c r="D5" i="37"/>
  <c r="B21" i="35"/>
  <c r="D20" i="35"/>
  <c r="D16" i="35"/>
  <c r="B22" i="34"/>
  <c r="D21" i="34"/>
  <c r="H15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13" i="40"/>
  <c r="D34" i="38"/>
  <c r="D33" i="38"/>
  <c r="D29" i="38"/>
  <c r="D25" i="38"/>
  <c r="H21" i="38"/>
  <c r="D13" i="38"/>
  <c r="B39" i="37"/>
  <c r="H24" i="37"/>
  <c r="H22" i="37"/>
  <c r="H13" i="37"/>
  <c r="D4" i="37"/>
  <c r="T34" i="35"/>
  <c r="T33" i="35"/>
  <c r="T29" i="35"/>
  <c r="T25" i="35"/>
  <c r="B16" i="35"/>
  <c r="D15" i="35"/>
  <c r="T12" i="35"/>
  <c r="B21" i="34"/>
  <c r="D20" i="34"/>
  <c r="D16" i="34"/>
  <c r="B22" i="32"/>
  <c r="D21" i="32"/>
  <c r="H15" i="32"/>
  <c r="B25" i="31"/>
  <c r="D24" i="31"/>
  <c r="D22" i="31"/>
  <c r="H20" i="31"/>
  <c r="H16" i="31"/>
  <c r="B13" i="31"/>
  <c r="D12" i="43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T24" i="35"/>
  <c r="T22" i="35"/>
  <c r="P12" i="35"/>
  <c r="T34" i="34"/>
  <c r="T33" i="34"/>
  <c r="T29" i="34"/>
  <c r="T25" i="34"/>
  <c r="B16" i="34"/>
  <c r="D15" i="34"/>
  <c r="T12" i="34"/>
  <c r="H25" i="41"/>
  <c r="D12" i="41"/>
  <c r="H12" i="40"/>
  <c r="B22" i="38"/>
  <c r="D21" i="38"/>
  <c r="H15" i="38"/>
  <c r="B25" i="37"/>
  <c r="D24" i="37"/>
  <c r="D22" i="37"/>
  <c r="H20" i="37"/>
  <c r="H16" i="37"/>
  <c r="B13" i="37"/>
  <c r="P34" i="35"/>
  <c r="P33" i="35"/>
  <c r="P29" i="35"/>
  <c r="P25" i="35"/>
  <c r="T21" i="35"/>
  <c r="T24" i="34"/>
  <c r="T22" i="34"/>
  <c r="P12" i="34"/>
  <c r="T34" i="32"/>
  <c r="T33" i="32"/>
  <c r="T29" i="32"/>
  <c r="T25" i="32"/>
  <c r="B16" i="32"/>
  <c r="D15" i="32"/>
  <c r="T12" i="32"/>
  <c r="B21" i="31"/>
  <c r="D20" i="31"/>
  <c r="D16" i="31"/>
  <c r="D24" i="41"/>
  <c r="B39" i="38"/>
  <c r="B21" i="38"/>
  <c r="D20" i="38"/>
  <c r="D16" i="38"/>
  <c r="B22" i="37"/>
  <c r="D21" i="37"/>
  <c r="H15" i="37"/>
  <c r="P24" i="35"/>
  <c r="P22" i="35"/>
  <c r="T20" i="35"/>
  <c r="T16" i="35"/>
  <c r="T13" i="35"/>
  <c r="P34" i="34"/>
  <c r="P33" i="34"/>
  <c r="P29" i="34"/>
  <c r="P25" i="34"/>
  <c r="T21" i="34"/>
  <c r="T24" i="32"/>
  <c r="T22" i="32"/>
  <c r="P12" i="32"/>
  <c r="T34" i="31"/>
  <c r="T33" i="31"/>
  <c r="T29" i="31"/>
  <c r="T25" i="31"/>
  <c r="B16" i="31"/>
  <c r="D15" i="31"/>
  <c r="T12" i="31"/>
  <c r="D22" i="41"/>
  <c r="P34" i="40"/>
  <c r="T21" i="40"/>
  <c r="B38" i="38"/>
  <c r="T33" i="38"/>
  <c r="T29" i="38"/>
  <c r="T25" i="38"/>
  <c r="B16" i="38"/>
  <c r="D15" i="38"/>
  <c r="T12" i="38"/>
  <c r="B21" i="37"/>
  <c r="D20" i="37"/>
  <c r="D16" i="37"/>
  <c r="P21" i="35"/>
  <c r="T15" i="35"/>
  <c r="P13" i="35"/>
  <c r="H12" i="35"/>
  <c r="P24" i="34"/>
  <c r="P22" i="34"/>
  <c r="T20" i="34"/>
  <c r="T16" i="34"/>
  <c r="T13" i="34"/>
  <c r="P34" i="32"/>
  <c r="P33" i="32"/>
  <c r="P29" i="32"/>
  <c r="P25" i="32"/>
  <c r="T21" i="32"/>
  <c r="T24" i="31"/>
  <c r="T22" i="31"/>
  <c r="P12" i="31"/>
  <c r="P21" i="40"/>
  <c r="T34" i="38"/>
  <c r="T24" i="38"/>
  <c r="T22" i="38"/>
  <c r="P12" i="38"/>
  <c r="T34" i="37"/>
  <c r="T33" i="37"/>
  <c r="T29" i="37"/>
  <c r="T25" i="37"/>
  <c r="B16" i="37"/>
  <c r="D15" i="37"/>
  <c r="T12" i="37"/>
  <c r="P20" i="35"/>
  <c r="P16" i="35"/>
  <c r="D12" i="35"/>
  <c r="P21" i="34"/>
  <c r="T15" i="34"/>
  <c r="P13" i="34"/>
  <c r="H12" i="34"/>
  <c r="P24" i="32"/>
  <c r="P22" i="32"/>
  <c r="T20" i="32"/>
  <c r="T16" i="32"/>
  <c r="T13" i="32"/>
  <c r="P34" i="31"/>
  <c r="P33" i="31"/>
  <c r="P29" i="31"/>
  <c r="P25" i="31"/>
  <c r="T21" i="31"/>
  <c r="T15" i="44"/>
  <c r="T20" i="41"/>
  <c r="P33" i="38"/>
  <c r="P29" i="38"/>
  <c r="P25" i="38"/>
  <c r="T21" i="38"/>
  <c r="T24" i="37"/>
  <c r="T22" i="37"/>
  <c r="P12" i="37"/>
  <c r="H34" i="35"/>
  <c r="H33" i="35"/>
  <c r="H29" i="35"/>
  <c r="H25" i="35"/>
  <c r="P15" i="35"/>
  <c r="D5" i="35"/>
  <c r="P20" i="34"/>
  <c r="P16" i="34"/>
  <c r="D12" i="34"/>
  <c r="P21" i="32"/>
  <c r="T15" i="32"/>
  <c r="P13" i="32"/>
  <c r="H12" i="32"/>
  <c r="P24" i="31"/>
  <c r="P22" i="31"/>
  <c r="T20" i="31"/>
  <c r="T16" i="31"/>
  <c r="T13" i="31"/>
  <c r="P21" i="38"/>
  <c r="T15" i="38"/>
  <c r="P13" i="38"/>
  <c r="H12" i="38"/>
  <c r="P24" i="37"/>
  <c r="P22" i="37"/>
  <c r="T20" i="37"/>
  <c r="T16" i="37"/>
  <c r="T13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H34" i="32"/>
  <c r="H33" i="32"/>
  <c r="H29" i="32"/>
  <c r="H25" i="32"/>
  <c r="P15" i="32"/>
  <c r="D5" i="32"/>
  <c r="P20" i="31"/>
  <c r="P16" i="31"/>
  <c r="D12" i="31"/>
  <c r="T15" i="37"/>
  <c r="B39" i="35"/>
  <c r="H34" i="34"/>
  <c r="P15" i="34"/>
  <c r="H13" i="32"/>
  <c r="H33" i="31"/>
  <c r="H25" i="31"/>
  <c r="H34" i="29"/>
  <c r="H33" i="29"/>
  <c r="H29" i="29"/>
  <c r="H25" i="29"/>
  <c r="P15" i="29"/>
  <c r="D5" i="29"/>
  <c r="P20" i="28"/>
  <c r="P16" i="28"/>
  <c r="D12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21" i="23"/>
  <c r="T15" i="23"/>
  <c r="P13" i="23"/>
  <c r="H12" i="23"/>
  <c r="P24" i="22"/>
  <c r="P22" i="22"/>
  <c r="T20" i="22"/>
  <c r="T16" i="22"/>
  <c r="T13" i="22"/>
  <c r="H34" i="20"/>
  <c r="H33" i="20"/>
  <c r="H29" i="20"/>
  <c r="H25" i="20"/>
  <c r="P15" i="20"/>
  <c r="D5" i="20"/>
  <c r="P20" i="19"/>
  <c r="P16" i="19"/>
  <c r="T16" i="38"/>
  <c r="P33" i="37"/>
  <c r="D34" i="34"/>
  <c r="D20" i="32"/>
  <c r="B39" i="29"/>
  <c r="H24" i="29"/>
  <c r="H22" i="29"/>
  <c r="H13" i="29"/>
  <c r="D4" i="29"/>
  <c r="H34" i="28"/>
  <c r="H33" i="28"/>
  <c r="H29" i="28"/>
  <c r="H25" i="28"/>
  <c r="P15" i="28"/>
  <c r="D5" i="28"/>
  <c r="B22" i="26"/>
  <c r="D21" i="26"/>
  <c r="H15" i="26"/>
  <c r="B25" i="25"/>
  <c r="D24" i="25"/>
  <c r="D22" i="25"/>
  <c r="H20" i="25"/>
  <c r="H16" i="25"/>
  <c r="B13" i="25"/>
  <c r="P20" i="23"/>
  <c r="P16" i="23"/>
  <c r="D12" i="23"/>
  <c r="P21" i="22"/>
  <c r="T15" i="22"/>
  <c r="P13" i="22"/>
  <c r="H12" i="22"/>
  <c r="B39" i="20"/>
  <c r="H24" i="20"/>
  <c r="H22" i="20"/>
  <c r="P16" i="38"/>
  <c r="P13" i="37"/>
  <c r="H33" i="34"/>
  <c r="D12" i="32"/>
  <c r="H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1" i="26"/>
  <c r="D20" i="26"/>
  <c r="D16" i="26"/>
  <c r="B22" i="25"/>
  <c r="D21" i="25"/>
  <c r="H15" i="25"/>
  <c r="H34" i="23"/>
  <c r="H33" i="23"/>
  <c r="H29" i="23"/>
  <c r="H25" i="23"/>
  <c r="P15" i="23"/>
  <c r="D5" i="23"/>
  <c r="P20" i="22"/>
  <c r="P16" i="22"/>
  <c r="D12" i="22"/>
  <c r="B38" i="20"/>
  <c r="D34" i="20"/>
  <c r="D33" i="20"/>
  <c r="P24" i="38"/>
  <c r="T21" i="37"/>
  <c r="B25" i="35"/>
  <c r="H16" i="35"/>
  <c r="D33" i="34"/>
  <c r="D13" i="34"/>
  <c r="B39" i="32"/>
  <c r="H24" i="32"/>
  <c r="D4" i="32"/>
  <c r="D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T34" i="26"/>
  <c r="T33" i="26"/>
  <c r="T29" i="26"/>
  <c r="T25" i="26"/>
  <c r="B16" i="26"/>
  <c r="D15" i="26"/>
  <c r="T12" i="26"/>
  <c r="B21" i="25"/>
  <c r="D20" i="25"/>
  <c r="D16" i="25"/>
  <c r="B39" i="23"/>
  <c r="H24" i="23"/>
  <c r="H22" i="23"/>
  <c r="H13" i="23"/>
  <c r="D4" i="23"/>
  <c r="H34" i="22"/>
  <c r="H33" i="22"/>
  <c r="H29" i="22"/>
  <c r="H25" i="22"/>
  <c r="H34" i="41"/>
  <c r="P21" i="37"/>
  <c r="H12" i="37"/>
  <c r="H24" i="35"/>
  <c r="D5" i="34"/>
  <c r="B22" i="29"/>
  <c r="D21" i="29"/>
  <c r="H15" i="29"/>
  <c r="B25" i="28"/>
  <c r="D24" i="28"/>
  <c r="D22" i="28"/>
  <c r="H20" i="28"/>
  <c r="H16" i="28"/>
  <c r="B13" i="28"/>
  <c r="T24" i="26"/>
  <c r="T22" i="26"/>
  <c r="P12" i="26"/>
  <c r="T34" i="25"/>
  <c r="T33" i="25"/>
  <c r="T29" i="25"/>
  <c r="T25" i="25"/>
  <c r="B16" i="25"/>
  <c r="D15" i="25"/>
  <c r="T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2" i="20"/>
  <c r="D21" i="20"/>
  <c r="H15" i="20"/>
  <c r="B25" i="19"/>
  <c r="D24" i="19"/>
  <c r="P22" i="38"/>
  <c r="T13" i="38"/>
  <c r="P29" i="37"/>
  <c r="D24" i="35"/>
  <c r="H21" i="34"/>
  <c r="P16" i="32"/>
  <c r="B21" i="29"/>
  <c r="D20" i="29"/>
  <c r="D16" i="29"/>
  <c r="B22" i="28"/>
  <c r="D21" i="28"/>
  <c r="H15" i="28"/>
  <c r="P34" i="26"/>
  <c r="P33" i="26"/>
  <c r="P29" i="26"/>
  <c r="P25" i="26"/>
  <c r="T21" i="26"/>
  <c r="T24" i="25"/>
  <c r="T22" i="25"/>
  <c r="P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B21" i="20"/>
  <c r="D20" i="20"/>
  <c r="D16" i="20"/>
  <c r="B22" i="19"/>
  <c r="D21" i="19"/>
  <c r="H22" i="35"/>
  <c r="H13" i="35"/>
  <c r="H29" i="34"/>
  <c r="H22" i="32"/>
  <c r="H29" i="31"/>
  <c r="T34" i="29"/>
  <c r="T33" i="29"/>
  <c r="T29" i="29"/>
  <c r="T25" i="29"/>
  <c r="B16" i="29"/>
  <c r="D15" i="29"/>
  <c r="T12" i="29"/>
  <c r="B21" i="28"/>
  <c r="D20" i="28"/>
  <c r="D16" i="28"/>
  <c r="P24" i="26"/>
  <c r="P22" i="26"/>
  <c r="T20" i="26"/>
  <c r="T16" i="26"/>
  <c r="T13" i="26"/>
  <c r="P34" i="25"/>
  <c r="P33" i="25"/>
  <c r="P29" i="25"/>
  <c r="P25" i="25"/>
  <c r="T21" i="25"/>
  <c r="B22" i="23"/>
  <c r="D21" i="23"/>
  <c r="H15" i="23"/>
  <c r="B25" i="22"/>
  <c r="D24" i="22"/>
  <c r="D22" i="22"/>
  <c r="H20" i="22"/>
  <c r="H16" i="22"/>
  <c r="B13" i="22"/>
  <c r="P16" i="41"/>
  <c r="D22" i="35"/>
  <c r="B13" i="35"/>
  <c r="D29" i="34"/>
  <c r="D16" i="32"/>
  <c r="B22" i="31"/>
  <c r="T24" i="29"/>
  <c r="T22" i="29"/>
  <c r="P12" i="29"/>
  <c r="T34" i="28"/>
  <c r="T33" i="28"/>
  <c r="T29" i="28"/>
  <c r="T25" i="28"/>
  <c r="B16" i="28"/>
  <c r="D15" i="28"/>
  <c r="T12" i="28"/>
  <c r="P21" i="26"/>
  <c r="T15" i="26"/>
  <c r="P13" i="26"/>
  <c r="H12" i="26"/>
  <c r="P24" i="25"/>
  <c r="P22" i="25"/>
  <c r="T20" i="25"/>
  <c r="T16" i="25"/>
  <c r="T13" i="25"/>
  <c r="B21" i="23"/>
  <c r="D20" i="23"/>
  <c r="D16" i="23"/>
  <c r="B22" i="22"/>
  <c r="D21" i="22"/>
  <c r="H15" i="22"/>
  <c r="T24" i="20"/>
  <c r="T22" i="20"/>
  <c r="P12" i="20"/>
  <c r="T34" i="19"/>
  <c r="T33" i="19"/>
  <c r="T29" i="19"/>
  <c r="T25" i="19"/>
  <c r="B16" i="19"/>
  <c r="D15" i="19"/>
  <c r="D12" i="38"/>
  <c r="D4" i="35"/>
  <c r="P21" i="31"/>
  <c r="T15" i="31"/>
  <c r="P34" i="29"/>
  <c r="P33" i="29"/>
  <c r="P29" i="29"/>
  <c r="P25" i="29"/>
  <c r="T21" i="29"/>
  <c r="T24" i="28"/>
  <c r="T22" i="28"/>
  <c r="P12" i="28"/>
  <c r="P20" i="26"/>
  <c r="P16" i="26"/>
  <c r="D12" i="26"/>
  <c r="P21" i="25"/>
  <c r="T15" i="25"/>
  <c r="P13" i="25"/>
  <c r="H12" i="25"/>
  <c r="T34" i="23"/>
  <c r="T33" i="23"/>
  <c r="T29" i="23"/>
  <c r="T25" i="23"/>
  <c r="B16" i="23"/>
  <c r="D15" i="23"/>
  <c r="T12" i="23"/>
  <c r="B21" i="22"/>
  <c r="D20" i="22"/>
  <c r="D16" i="22"/>
  <c r="P20" i="38"/>
  <c r="H25" i="34"/>
  <c r="B21" i="32"/>
  <c r="D21" i="31"/>
  <c r="H15" i="31"/>
  <c r="P21" i="29"/>
  <c r="T15" i="29"/>
  <c r="P13" i="29"/>
  <c r="H12" i="29"/>
  <c r="P24" i="28"/>
  <c r="P22" i="28"/>
  <c r="T20" i="28"/>
  <c r="T16" i="28"/>
  <c r="T13" i="28"/>
  <c r="B39" i="26"/>
  <c r="H24" i="26"/>
  <c r="H22" i="26"/>
  <c r="H13" i="26"/>
  <c r="D4" i="26"/>
  <c r="H34" i="25"/>
  <c r="H33" i="25"/>
  <c r="H29" i="25"/>
  <c r="H25" i="25"/>
  <c r="P15" i="25"/>
  <c r="D5" i="25"/>
  <c r="P34" i="23"/>
  <c r="P33" i="23"/>
  <c r="P29" i="23"/>
  <c r="P25" i="23"/>
  <c r="T21" i="23"/>
  <c r="T24" i="22"/>
  <c r="T22" i="22"/>
  <c r="P12" i="22"/>
  <c r="P21" i="20"/>
  <c r="T15" i="20"/>
  <c r="P13" i="20"/>
  <c r="H12" i="20"/>
  <c r="P13" i="31"/>
  <c r="P16" i="29"/>
  <c r="P13" i="28"/>
  <c r="D29" i="26"/>
  <c r="P22" i="23"/>
  <c r="T13" i="23"/>
  <c r="P29" i="22"/>
  <c r="D15" i="22"/>
  <c r="T29" i="20"/>
  <c r="T25" i="20"/>
  <c r="D4" i="20"/>
  <c r="P34" i="19"/>
  <c r="P29" i="19"/>
  <c r="H22" i="19"/>
  <c r="B21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P34" i="14"/>
  <c r="P33" i="14"/>
  <c r="P29" i="14"/>
  <c r="P25" i="14"/>
  <c r="T21" i="14"/>
  <c r="T24" i="13"/>
  <c r="T22" i="13"/>
  <c r="P12" i="13"/>
  <c r="H20" i="35"/>
  <c r="P24" i="29"/>
  <c r="T21" i="28"/>
  <c r="P12" i="23"/>
  <c r="P29" i="20"/>
  <c r="P25" i="20"/>
  <c r="D15" i="20"/>
  <c r="B39" i="19"/>
  <c r="D33" i="19"/>
  <c r="P24" i="19"/>
  <c r="H15" i="19"/>
  <c r="T12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24" i="14"/>
  <c r="P22" i="14"/>
  <c r="T20" i="14"/>
  <c r="T16" i="14"/>
  <c r="T13" i="14"/>
  <c r="P34" i="13"/>
  <c r="P33" i="13"/>
  <c r="P29" i="13"/>
  <c r="P25" i="13"/>
  <c r="T21" i="13"/>
  <c r="B38" i="34"/>
  <c r="P20" i="32"/>
  <c r="P21" i="28"/>
  <c r="H12" i="28"/>
  <c r="B38" i="26"/>
  <c r="H24" i="25"/>
  <c r="T33" i="20"/>
  <c r="P22" i="20"/>
  <c r="T20" i="20"/>
  <c r="T16" i="20"/>
  <c r="B38" i="19"/>
  <c r="D22" i="19"/>
  <c r="H16" i="19"/>
  <c r="P12" i="19"/>
  <c r="B22" i="17"/>
  <c r="D21" i="17"/>
  <c r="H15" i="17"/>
  <c r="B25" i="16"/>
  <c r="D24" i="16"/>
  <c r="D22" i="16"/>
  <c r="H20" i="16"/>
  <c r="H16" i="16"/>
  <c r="B13" i="16"/>
  <c r="P21" i="14"/>
  <c r="T15" i="14"/>
  <c r="P13" i="14"/>
  <c r="H12" i="14"/>
  <c r="P24" i="13"/>
  <c r="P22" i="13"/>
  <c r="T20" i="13"/>
  <c r="T16" i="13"/>
  <c r="T13" i="13"/>
  <c r="T20" i="38"/>
  <c r="P22" i="29"/>
  <c r="T13" i="29"/>
  <c r="P29" i="28"/>
  <c r="H25" i="26"/>
  <c r="T25" i="22"/>
  <c r="T12" i="22"/>
  <c r="P33" i="20"/>
  <c r="P20" i="20"/>
  <c r="P16" i="20"/>
  <c r="T13" i="20"/>
  <c r="H34" i="19"/>
  <c r="H29" i="19"/>
  <c r="T20" i="19"/>
  <c r="B21" i="17"/>
  <c r="D20" i="17"/>
  <c r="D16" i="17"/>
  <c r="B22" i="16"/>
  <c r="D21" i="16"/>
  <c r="H15" i="16"/>
  <c r="D25" i="26"/>
  <c r="H22" i="25"/>
  <c r="H13" i="25"/>
  <c r="T20" i="23"/>
  <c r="P25" i="22"/>
  <c r="D29" i="20"/>
  <c r="D25" i="20"/>
  <c r="P25" i="19"/>
  <c r="H24" i="19"/>
  <c r="D16" i="19"/>
  <c r="T34" i="17"/>
  <c r="T33" i="17"/>
  <c r="T29" i="17"/>
  <c r="T25" i="17"/>
  <c r="B16" i="17"/>
  <c r="D15" i="17"/>
  <c r="T12" i="17"/>
  <c r="B21" i="16"/>
  <c r="D20" i="16"/>
  <c r="D16" i="16"/>
  <c r="D25" i="34"/>
  <c r="H34" i="31"/>
  <c r="H34" i="26"/>
  <c r="P15" i="26"/>
  <c r="D12" i="25"/>
  <c r="T34" i="22"/>
  <c r="D5" i="22"/>
  <c r="B25" i="20"/>
  <c r="D22" i="20"/>
  <c r="H20" i="20"/>
  <c r="H16" i="20"/>
  <c r="H13" i="20"/>
  <c r="D34" i="19"/>
  <c r="D29" i="19"/>
  <c r="T21" i="19"/>
  <c r="T13" i="19"/>
  <c r="H12" i="19"/>
  <c r="T24" i="17"/>
  <c r="T22" i="17"/>
  <c r="P12" i="17"/>
  <c r="T34" i="16"/>
  <c r="T33" i="16"/>
  <c r="T29" i="16"/>
  <c r="T25" i="16"/>
  <c r="B16" i="16"/>
  <c r="D15" i="16"/>
  <c r="T12" i="16"/>
  <c r="B39" i="14"/>
  <c r="H24" i="14"/>
  <c r="H22" i="14"/>
  <c r="H13" i="14"/>
  <c r="D4" i="14"/>
  <c r="H34" i="13"/>
  <c r="H33" i="13"/>
  <c r="H29" i="13"/>
  <c r="H25" i="13"/>
  <c r="P15" i="13"/>
  <c r="D5" i="13"/>
  <c r="P34" i="37"/>
  <c r="D12" i="29"/>
  <c r="D34" i="26"/>
  <c r="D4" i="25"/>
  <c r="P34" i="22"/>
  <c r="B16" i="20"/>
  <c r="D13" i="20"/>
  <c r="P13" i="19"/>
  <c r="D12" i="19"/>
  <c r="P34" i="17"/>
  <c r="P33" i="17"/>
  <c r="P29" i="17"/>
  <c r="P25" i="17"/>
  <c r="T21" i="17"/>
  <c r="T24" i="16"/>
  <c r="T22" i="16"/>
  <c r="P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25" i="37"/>
  <c r="T20" i="29"/>
  <c r="P25" i="28"/>
  <c r="H33" i="26"/>
  <c r="P20" i="25"/>
  <c r="T33" i="22"/>
  <c r="T21" i="20"/>
  <c r="B13" i="20"/>
  <c r="H25" i="19"/>
  <c r="T22" i="19"/>
  <c r="P21" i="19"/>
  <c r="D5" i="19"/>
  <c r="P24" i="17"/>
  <c r="P22" i="17"/>
  <c r="T20" i="17"/>
  <c r="T16" i="17"/>
  <c r="T13" i="17"/>
  <c r="P34" i="16"/>
  <c r="P33" i="16"/>
  <c r="P29" i="16"/>
  <c r="P25" i="16"/>
  <c r="T21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15" i="28"/>
  <c r="H21" i="26"/>
  <c r="B39" i="25"/>
  <c r="P24" i="23"/>
  <c r="T21" i="22"/>
  <c r="P34" i="20"/>
  <c r="H21" i="20"/>
  <c r="H21" i="19"/>
  <c r="B13" i="19"/>
  <c r="H34" i="17"/>
  <c r="H33" i="17"/>
  <c r="H29" i="17"/>
  <c r="H25" i="17"/>
  <c r="P15" i="17"/>
  <c r="D5" i="17"/>
  <c r="P20" i="16"/>
  <c r="P16" i="16"/>
  <c r="D12" i="16"/>
  <c r="T34" i="14"/>
  <c r="T33" i="14"/>
  <c r="T29" i="14"/>
  <c r="T25" i="14"/>
  <c r="B16" i="14"/>
  <c r="D15" i="14"/>
  <c r="T12" i="14"/>
  <c r="B21" i="13"/>
  <c r="D20" i="13"/>
  <c r="D16" i="13"/>
  <c r="P33" i="22"/>
  <c r="D24" i="20"/>
  <c r="D12" i="20"/>
  <c r="H22" i="17"/>
  <c r="H29" i="16"/>
  <c r="H34" i="14"/>
  <c r="B22" i="14"/>
  <c r="P15" i="14"/>
  <c r="P13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21" i="17"/>
  <c r="T15" i="17"/>
  <c r="H25" i="14"/>
  <c r="H15" i="14"/>
  <c r="B22" i="11"/>
  <c r="D21" i="11"/>
  <c r="H15" i="11"/>
  <c r="B25" i="10"/>
  <c r="D24" i="10"/>
  <c r="D22" i="10"/>
  <c r="H20" i="10"/>
  <c r="H16" i="10"/>
  <c r="B13" i="10"/>
  <c r="P15" i="31"/>
  <c r="P20" i="29"/>
  <c r="T29" i="22"/>
  <c r="T34" i="20"/>
  <c r="D25" i="19"/>
  <c r="T16" i="19"/>
  <c r="P21" i="16"/>
  <c r="T15" i="16"/>
  <c r="D21" i="13"/>
  <c r="B13" i="13"/>
  <c r="B21" i="11"/>
  <c r="D20" i="11"/>
  <c r="D16" i="11"/>
  <c r="B22" i="10"/>
  <c r="D21" i="10"/>
  <c r="H1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T24" i="19"/>
  <c r="H34" i="16"/>
  <c r="P15" i="16"/>
  <c r="H29" i="14"/>
  <c r="D24" i="13"/>
  <c r="P16" i="13"/>
  <c r="T34" i="11"/>
  <c r="T33" i="11"/>
  <c r="T29" i="11"/>
  <c r="T25" i="11"/>
  <c r="B16" i="11"/>
  <c r="D15" i="11"/>
  <c r="T12" i="11"/>
  <c r="B21" i="10"/>
  <c r="D20" i="10"/>
  <c r="D16" i="10"/>
  <c r="T16" i="29"/>
  <c r="D33" i="26"/>
  <c r="P33" i="19"/>
  <c r="T15" i="19"/>
  <c r="P13" i="17"/>
  <c r="T20" i="16"/>
  <c r="T13" i="16"/>
  <c r="T24" i="14"/>
  <c r="H16" i="13"/>
  <c r="T12" i="13"/>
  <c r="T24" i="11"/>
  <c r="T22" i="11"/>
  <c r="P12" i="11"/>
  <c r="T34" i="10"/>
  <c r="T33" i="10"/>
  <c r="T29" i="10"/>
  <c r="T25" i="10"/>
  <c r="B16" i="10"/>
  <c r="D15" i="10"/>
  <c r="T12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22" i="19"/>
  <c r="P15" i="19"/>
  <c r="P20" i="17"/>
  <c r="P13" i="16"/>
  <c r="H33" i="14"/>
  <c r="D21" i="14"/>
  <c r="P20" i="13"/>
  <c r="H12" i="13"/>
  <c r="P34" i="11"/>
  <c r="P33" i="11"/>
  <c r="P29" i="11"/>
  <c r="P25" i="11"/>
  <c r="T21" i="11"/>
  <c r="T24" i="10"/>
  <c r="T22" i="10"/>
  <c r="P12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34" i="28"/>
  <c r="H29" i="26"/>
  <c r="P16" i="25"/>
  <c r="H33" i="19"/>
  <c r="H13" i="17"/>
  <c r="H33" i="16"/>
  <c r="H25" i="16"/>
  <c r="B21" i="14"/>
  <c r="P16" i="14"/>
  <c r="T34" i="13"/>
  <c r="H20" i="13"/>
  <c r="B16" i="13"/>
  <c r="D12" i="13"/>
  <c r="P24" i="11"/>
  <c r="P22" i="11"/>
  <c r="T20" i="11"/>
  <c r="T16" i="11"/>
  <c r="T13" i="11"/>
  <c r="P34" i="10"/>
  <c r="P33" i="10"/>
  <c r="P29" i="10"/>
  <c r="P25" i="10"/>
  <c r="T21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33" i="28"/>
  <c r="T24" i="23"/>
  <c r="B16" i="22"/>
  <c r="H13" i="19"/>
  <c r="H12" i="17"/>
  <c r="P24" i="16"/>
  <c r="T25" i="13"/>
  <c r="T15" i="13"/>
  <c r="P21" i="11"/>
  <c r="T15" i="11"/>
  <c r="P13" i="11"/>
  <c r="H12" i="11"/>
  <c r="P24" i="10"/>
  <c r="P22" i="10"/>
  <c r="T20" i="10"/>
  <c r="T16" i="10"/>
  <c r="T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D13" i="26"/>
  <c r="P24" i="20"/>
  <c r="T12" i="20"/>
  <c r="H20" i="19"/>
  <c r="D4" i="19"/>
  <c r="P22" i="16"/>
  <c r="T16" i="16"/>
  <c r="D5" i="14"/>
  <c r="B25" i="13"/>
  <c r="H15" i="13"/>
  <c r="B39" i="11"/>
  <c r="H24" i="11"/>
  <c r="H22" i="11"/>
  <c r="H13" i="11"/>
  <c r="D4" i="11"/>
  <c r="H34" i="10"/>
  <c r="H33" i="10"/>
  <c r="H29" i="10"/>
  <c r="H25" i="10"/>
  <c r="P15" i="10"/>
  <c r="D5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P15" i="44"/>
  <c r="D5" i="26"/>
  <c r="D20" i="19"/>
  <c r="P16" i="17"/>
  <c r="D20" i="14"/>
  <c r="T33" i="13"/>
  <c r="P21" i="13"/>
  <c r="D15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21" i="8"/>
  <c r="T15" i="8"/>
  <c r="P13" i="8"/>
  <c r="H12" i="8"/>
  <c r="H29" i="11"/>
  <c r="P16" i="10"/>
  <c r="T24" i="8"/>
  <c r="T25" i="7"/>
  <c r="D4" i="7"/>
  <c r="H34" i="5"/>
  <c r="H22" i="5"/>
  <c r="D20" i="5"/>
  <c r="P15" i="5"/>
  <c r="B38" i="4"/>
  <c r="T33" i="4"/>
  <c r="H29" i="4"/>
  <c r="D15" i="4"/>
  <c r="P16" i="7"/>
  <c r="D12" i="11"/>
  <c r="T21" i="8"/>
  <c r="T22" i="23"/>
  <c r="D12" i="17"/>
  <c r="T29" i="13"/>
  <c r="T15" i="10"/>
  <c r="P34" i="8"/>
  <c r="P29" i="8"/>
  <c r="H22" i="7"/>
  <c r="H25" i="5"/>
  <c r="D22" i="5"/>
  <c r="D29" i="4"/>
  <c r="T33" i="7"/>
  <c r="D24" i="5"/>
  <c r="H16" i="5"/>
  <c r="T16" i="23"/>
  <c r="D4" i="17"/>
  <c r="H34" i="8"/>
  <c r="H29" i="8"/>
  <c r="P15" i="8"/>
  <c r="H33" i="4"/>
  <c r="H21" i="4"/>
  <c r="P12" i="14"/>
  <c r="H24" i="7"/>
  <c r="H12" i="16"/>
  <c r="D12" i="14"/>
  <c r="P15" i="22"/>
  <c r="T22" i="14"/>
  <c r="P16" i="11"/>
  <c r="P13" i="10"/>
  <c r="D34" i="8"/>
  <c r="D29" i="8"/>
  <c r="D15" i="7"/>
  <c r="B39" i="5"/>
  <c r="H29" i="5"/>
  <c r="B25" i="5"/>
  <c r="D33" i="4"/>
  <c r="D21" i="4"/>
  <c r="P16" i="4"/>
  <c r="D13" i="4"/>
  <c r="P20" i="14"/>
  <c r="D22" i="13"/>
  <c r="H25" i="11"/>
  <c r="T22" i="8"/>
  <c r="T34" i="7"/>
  <c r="T29" i="7"/>
  <c r="B22" i="13"/>
  <c r="P21" i="10"/>
  <c r="H12" i="10"/>
  <c r="P33" i="8"/>
  <c r="T24" i="7"/>
  <c r="T13" i="7"/>
  <c r="H33" i="5"/>
  <c r="T24" i="5"/>
  <c r="P20" i="4"/>
  <c r="T12" i="4"/>
  <c r="T12" i="7"/>
  <c r="T25" i="4"/>
  <c r="B39" i="17"/>
  <c r="H34" i="11"/>
  <c r="P15" i="11"/>
  <c r="D12" i="10"/>
  <c r="H33" i="8"/>
  <c r="P24" i="7"/>
  <c r="H13" i="5"/>
  <c r="D12" i="4"/>
  <c r="D13" i="19"/>
  <c r="D16" i="14"/>
  <c r="B38" i="8"/>
  <c r="D33" i="8"/>
  <c r="D13" i="8"/>
  <c r="T16" i="7"/>
  <c r="H13" i="7"/>
  <c r="H24" i="5"/>
  <c r="B21" i="5"/>
  <c r="B13" i="5"/>
  <c r="T34" i="4"/>
  <c r="B16" i="4"/>
  <c r="D5" i="4"/>
  <c r="P12" i="8"/>
  <c r="H34" i="4"/>
  <c r="P15" i="4"/>
  <c r="H24" i="17"/>
  <c r="D5" i="16"/>
  <c r="D5" i="11"/>
  <c r="H25" i="8"/>
  <c r="D5" i="8"/>
  <c r="T22" i="7"/>
  <c r="P20" i="7"/>
  <c r="B16" i="7"/>
  <c r="T22" i="5"/>
  <c r="D16" i="5"/>
  <c r="D5" i="5"/>
  <c r="D34" i="4"/>
  <c r="T29" i="4"/>
  <c r="H25" i="4"/>
  <c r="B22" i="4"/>
  <c r="P20" i="10"/>
  <c r="T20" i="7"/>
  <c r="P20" i="11"/>
  <c r="D25" i="8"/>
  <c r="H21" i="8"/>
  <c r="B39" i="7"/>
  <c r="P22" i="7"/>
  <c r="D12" i="7"/>
  <c r="H20" i="5"/>
  <c r="D4" i="5"/>
  <c r="D25" i="4"/>
  <c r="H15" i="4"/>
  <c r="H33" i="11"/>
  <c r="P25" i="8"/>
  <c r="P12" i="7"/>
  <c r="P12" i="5"/>
  <c r="R24" i="5" l="1"/>
  <c r="R22" i="5"/>
  <c r="R21" i="5"/>
  <c r="R20" i="5"/>
  <c r="R18" i="5"/>
  <c r="R16" i="5"/>
  <c r="P18" i="5"/>
  <c r="R15" i="5"/>
  <c r="R25" i="5"/>
  <c r="R29" i="5"/>
  <c r="X12" i="5"/>
  <c r="R33" i="5"/>
  <c r="R36" i="5"/>
  <c r="R27" i="5"/>
  <c r="R31" i="5"/>
  <c r="R34" i="5"/>
  <c r="R20" i="7"/>
  <c r="R18" i="7"/>
  <c r="R16" i="7"/>
  <c r="X12" i="7"/>
  <c r="R24" i="7"/>
  <c r="R22" i="7"/>
  <c r="R36" i="7"/>
  <c r="R31" i="7"/>
  <c r="R25" i="7"/>
  <c r="R15" i="7"/>
  <c r="R33" i="7"/>
  <c r="P18" i="7"/>
  <c r="R21" i="7"/>
  <c r="R34" i="7"/>
  <c r="R29" i="7"/>
  <c r="R27" i="7"/>
  <c r="X25" i="8"/>
  <c r="N33" i="11"/>
  <c r="N15" i="4"/>
  <c r="L25" i="4"/>
  <c r="N20" i="5"/>
  <c r="F24" i="7"/>
  <c r="F22" i="7"/>
  <c r="F21" i="7"/>
  <c r="F20" i="7"/>
  <c r="F18" i="7"/>
  <c r="F16" i="7"/>
  <c r="D18" i="7"/>
  <c r="F15" i="7"/>
  <c r="F36" i="7"/>
  <c r="F31" i="7"/>
  <c r="F25" i="7"/>
  <c r="F34" i="7"/>
  <c r="F29" i="7"/>
  <c r="L12" i="7"/>
  <c r="F33" i="7"/>
  <c r="F27" i="7"/>
  <c r="X22" i="7"/>
  <c r="N21" i="8"/>
  <c r="L25" i="8"/>
  <c r="X20" i="11"/>
  <c r="Z20" i="7"/>
  <c r="X20" i="10"/>
  <c r="N25" i="4"/>
  <c r="Z29" i="4"/>
  <c r="L34" i="4"/>
  <c r="L16" i="5"/>
  <c r="Z22" i="5"/>
  <c r="X20" i="7"/>
  <c r="Z22" i="7"/>
  <c r="N25" i="8"/>
  <c r="N24" i="17"/>
  <c r="X15" i="4"/>
  <c r="N34" i="4"/>
  <c r="P18" i="8"/>
  <c r="R15" i="8"/>
  <c r="X12" i="8"/>
  <c r="R21" i="8"/>
  <c r="R20" i="8"/>
  <c r="R18" i="8"/>
  <c r="R16" i="8"/>
  <c r="R34" i="8"/>
  <c r="R29" i="8"/>
  <c r="R24" i="8"/>
  <c r="R25" i="8"/>
  <c r="R33" i="8"/>
  <c r="R27" i="8"/>
  <c r="R22" i="8"/>
  <c r="R36" i="8"/>
  <c r="R31" i="8"/>
  <c r="Z34" i="4"/>
  <c r="N24" i="5"/>
  <c r="N13" i="7"/>
  <c r="Z16" i="7"/>
  <c r="L13" i="8"/>
  <c r="L33" i="8"/>
  <c r="L16" i="14"/>
  <c r="L13" i="19"/>
  <c r="F21" i="4"/>
  <c r="D18" i="4"/>
  <c r="F15" i="4"/>
  <c r="L12" i="4"/>
  <c r="F36" i="4"/>
  <c r="F34" i="4"/>
  <c r="F33" i="4"/>
  <c r="F31" i="4"/>
  <c r="F29" i="4"/>
  <c r="F27" i="4"/>
  <c r="F25" i="4"/>
  <c r="F22" i="4"/>
  <c r="F18" i="4"/>
  <c r="F20" i="4"/>
  <c r="F24" i="4"/>
  <c r="F16" i="4"/>
  <c r="N13" i="5"/>
  <c r="X24" i="7"/>
  <c r="N33" i="8"/>
  <c r="F24" i="10"/>
  <c r="F22" i="10"/>
  <c r="F21" i="10"/>
  <c r="F20" i="10"/>
  <c r="F18" i="10"/>
  <c r="F16" i="10"/>
  <c r="D18" i="10"/>
  <c r="F15" i="10"/>
  <c r="L12" i="10"/>
  <c r="F36" i="10"/>
  <c r="F34" i="10"/>
  <c r="F33" i="10"/>
  <c r="F31" i="10"/>
  <c r="F29" i="10"/>
  <c r="F27" i="10"/>
  <c r="F25" i="10"/>
  <c r="X15" i="11"/>
  <c r="N34" i="11"/>
  <c r="Z25" i="4"/>
  <c r="Z12" i="7"/>
  <c r="V36" i="7"/>
  <c r="V34" i="7"/>
  <c r="V33" i="7"/>
  <c r="V31" i="7"/>
  <c r="V29" i="7"/>
  <c r="V27" i="7"/>
  <c r="V25" i="7"/>
  <c r="V20" i="7"/>
  <c r="V18" i="7"/>
  <c r="V16" i="7"/>
  <c r="V15" i="7"/>
  <c r="T18" i="7"/>
  <c r="V21" i="7"/>
  <c r="V24" i="7"/>
  <c r="V22" i="7"/>
  <c r="V36" i="4"/>
  <c r="V34" i="4"/>
  <c r="V33" i="4"/>
  <c r="V31" i="4"/>
  <c r="V29" i="4"/>
  <c r="V27" i="4"/>
  <c r="V25" i="4"/>
  <c r="V21" i="4"/>
  <c r="V20" i="4"/>
  <c r="V18" i="4"/>
  <c r="V16" i="4"/>
  <c r="T18" i="4"/>
  <c r="V15" i="4"/>
  <c r="V24" i="4"/>
  <c r="Z12" i="4"/>
  <c r="V22" i="4"/>
  <c r="X20" i="4"/>
  <c r="Z24" i="5"/>
  <c r="N33" i="5"/>
  <c r="Z13" i="7"/>
  <c r="Z24" i="7"/>
  <c r="X33" i="8"/>
  <c r="J20" i="10"/>
  <c r="J18" i="10"/>
  <c r="J16" i="10"/>
  <c r="H18" i="10"/>
  <c r="J15" i="10"/>
  <c r="N12" i="10"/>
  <c r="J24" i="10"/>
  <c r="J22" i="10"/>
  <c r="J21" i="10"/>
  <c r="J36" i="10"/>
  <c r="J25" i="10"/>
  <c r="J34" i="10"/>
  <c r="J33" i="10"/>
  <c r="J29" i="10"/>
  <c r="J31" i="10"/>
  <c r="J27" i="10"/>
  <c r="X21" i="10"/>
  <c r="Z29" i="7"/>
  <c r="Z34" i="7"/>
  <c r="Z22" i="8"/>
  <c r="N25" i="11"/>
  <c r="L22" i="13"/>
  <c r="X20" i="14"/>
  <c r="L13" i="4"/>
  <c r="X16" i="4"/>
  <c r="L21" i="4"/>
  <c r="L33" i="4"/>
  <c r="N29" i="5"/>
  <c r="L15" i="7"/>
  <c r="L29" i="8"/>
  <c r="L34" i="8"/>
  <c r="X13" i="10"/>
  <c r="X16" i="11"/>
  <c r="Z22" i="14"/>
  <c r="X15" i="22"/>
  <c r="L12" i="14"/>
  <c r="F36" i="14"/>
  <c r="F34" i="14"/>
  <c r="F33" i="14"/>
  <c r="F31" i="14"/>
  <c r="F29" i="14"/>
  <c r="F27" i="14"/>
  <c r="F25" i="14"/>
  <c r="F24" i="14"/>
  <c r="F22" i="14"/>
  <c r="F21" i="14"/>
  <c r="F15" i="14"/>
  <c r="F18" i="14"/>
  <c r="D18" i="14"/>
  <c r="F20" i="14"/>
  <c r="F16" i="14"/>
  <c r="J21" i="16"/>
  <c r="J20" i="16"/>
  <c r="J18" i="16"/>
  <c r="J16" i="16"/>
  <c r="H18" i="16"/>
  <c r="J15" i="16"/>
  <c r="N12" i="16"/>
  <c r="J36" i="16"/>
  <c r="J34" i="16"/>
  <c r="J33" i="16"/>
  <c r="J31" i="16"/>
  <c r="J29" i="16"/>
  <c r="J27" i="16"/>
  <c r="J25" i="16"/>
  <c r="J22" i="16"/>
  <c r="J24" i="16"/>
  <c r="N24" i="7"/>
  <c r="R24" i="14"/>
  <c r="R22" i="14"/>
  <c r="R21" i="14"/>
  <c r="R20" i="14"/>
  <c r="R18" i="14"/>
  <c r="R16" i="14"/>
  <c r="R29" i="14"/>
  <c r="P18" i="14"/>
  <c r="R33" i="14"/>
  <c r="R36" i="14"/>
  <c r="R27" i="14"/>
  <c r="X12" i="14"/>
  <c r="R34" i="14"/>
  <c r="R25" i="14"/>
  <c r="R15" i="14"/>
  <c r="R31" i="14"/>
  <c r="N21" i="4"/>
  <c r="N33" i="4"/>
  <c r="X15" i="8"/>
  <c r="N29" i="8"/>
  <c r="N34" i="8"/>
  <c r="Z16" i="23"/>
  <c r="N16" i="5"/>
  <c r="L24" i="5"/>
  <c r="Z33" i="7"/>
  <c r="L29" i="4"/>
  <c r="L22" i="5"/>
  <c r="N25" i="5"/>
  <c r="N22" i="7"/>
  <c r="X29" i="8"/>
  <c r="X34" i="8"/>
  <c r="Z15" i="10"/>
  <c r="Z29" i="13"/>
  <c r="F24" i="17"/>
  <c r="F22" i="17"/>
  <c r="F21" i="17"/>
  <c r="F20" i="17"/>
  <c r="F18" i="17"/>
  <c r="F16" i="17"/>
  <c r="D18" i="17"/>
  <c r="F15" i="17"/>
  <c r="L12" i="17"/>
  <c r="F36" i="17"/>
  <c r="F29" i="17"/>
  <c r="F34" i="17"/>
  <c r="F27" i="17"/>
  <c r="F33" i="17"/>
  <c r="F25" i="17"/>
  <c r="F31" i="17"/>
  <c r="Z22" i="23"/>
  <c r="Z21" i="8"/>
  <c r="F21" i="11"/>
  <c r="F20" i="11"/>
  <c r="F18" i="11"/>
  <c r="F16" i="11"/>
  <c r="D18" i="11"/>
  <c r="F15" i="11"/>
  <c r="L12" i="11"/>
  <c r="F36" i="11"/>
  <c r="F34" i="11"/>
  <c r="F33" i="11"/>
  <c r="F31" i="11"/>
  <c r="F29" i="11"/>
  <c r="F27" i="11"/>
  <c r="F25" i="11"/>
  <c r="F24" i="11"/>
  <c r="F22" i="11"/>
  <c r="X16" i="7"/>
  <c r="L15" i="4"/>
  <c r="N29" i="4"/>
  <c r="Z33" i="4"/>
  <c r="X15" i="5"/>
  <c r="L20" i="5"/>
  <c r="N22" i="5"/>
  <c r="N34" i="5"/>
  <c r="Z25" i="7"/>
  <c r="Z24" i="8"/>
  <c r="X16" i="10"/>
  <c r="N29" i="11"/>
  <c r="J36" i="8"/>
  <c r="J34" i="8"/>
  <c r="J33" i="8"/>
  <c r="J31" i="8"/>
  <c r="J29" i="8"/>
  <c r="J27" i="8"/>
  <c r="J25" i="8"/>
  <c r="J21" i="8"/>
  <c r="H18" i="8"/>
  <c r="J15" i="8"/>
  <c r="J24" i="8"/>
  <c r="J20" i="8"/>
  <c r="N12" i="8"/>
  <c r="J22" i="8"/>
  <c r="J18" i="8"/>
  <c r="J16" i="8"/>
  <c r="X13" i="8"/>
  <c r="Z15" i="8"/>
  <c r="X21" i="8"/>
  <c r="N13" i="10"/>
  <c r="N22" i="10"/>
  <c r="N24" i="10"/>
  <c r="L13" i="11"/>
  <c r="N21" i="11"/>
  <c r="L25" i="11"/>
  <c r="L29" i="11"/>
  <c r="L33" i="11"/>
  <c r="L34" i="11"/>
  <c r="L15" i="13"/>
  <c r="X21" i="13"/>
  <c r="Z33" i="13"/>
  <c r="L20" i="14"/>
  <c r="X16" i="17"/>
  <c r="L20" i="19"/>
  <c r="X15" i="44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5" i="10"/>
  <c r="N25" i="10"/>
  <c r="N29" i="10"/>
  <c r="N33" i="10"/>
  <c r="N34" i="10"/>
  <c r="N13" i="11"/>
  <c r="N22" i="11"/>
  <c r="N24" i="11"/>
  <c r="N15" i="13"/>
  <c r="Z16" i="16"/>
  <c r="X22" i="16"/>
  <c r="N20" i="19"/>
  <c r="Z12" i="20"/>
  <c r="V36" i="20"/>
  <c r="V34" i="20"/>
  <c r="V33" i="20"/>
  <c r="V31" i="20"/>
  <c r="V29" i="20"/>
  <c r="V27" i="20"/>
  <c r="V25" i="20"/>
  <c r="V21" i="20"/>
  <c r="V22" i="20"/>
  <c r="V20" i="20"/>
  <c r="V16" i="20"/>
  <c r="V24" i="20"/>
  <c r="V18" i="20"/>
  <c r="T18" i="20"/>
  <c r="V15" i="20"/>
  <c r="X24" i="20"/>
  <c r="L13" i="26"/>
  <c r="H18" i="4"/>
  <c r="J15" i="4"/>
  <c r="N12" i="4"/>
  <c r="J21" i="4"/>
  <c r="J18" i="4"/>
  <c r="J33" i="4"/>
  <c r="J36" i="4"/>
  <c r="J24" i="4"/>
  <c r="J27" i="4"/>
  <c r="J16" i="4"/>
  <c r="J25" i="4"/>
  <c r="J31" i="4"/>
  <c r="J20" i="4"/>
  <c r="J34" i="4"/>
  <c r="J29" i="4"/>
  <c r="J22" i="4"/>
  <c r="X13" i="4"/>
  <c r="Z15" i="4"/>
  <c r="X21" i="4"/>
  <c r="F20" i="5"/>
  <c r="F18" i="5"/>
  <c r="F16" i="5"/>
  <c r="L12" i="5"/>
  <c r="F24" i="5"/>
  <c r="F22" i="5"/>
  <c r="F27" i="5"/>
  <c r="F34" i="5"/>
  <c r="F25" i="5"/>
  <c r="F15" i="5"/>
  <c r="F29" i="5"/>
  <c r="D18" i="5"/>
  <c r="F33" i="5"/>
  <c r="F21" i="5"/>
  <c r="F31" i="5"/>
  <c r="F36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T18" i="8"/>
  <c r="V15" i="8"/>
  <c r="V21" i="8"/>
  <c r="V20" i="8"/>
  <c r="V16" i="8"/>
  <c r="V18" i="8"/>
  <c r="L15" i="8"/>
  <c r="Z25" i="8"/>
  <c r="Z29" i="8"/>
  <c r="Z33" i="8"/>
  <c r="Z34" i="8"/>
  <c r="Z13" i="10"/>
  <c r="Z16" i="10"/>
  <c r="Z20" i="10"/>
  <c r="X22" i="10"/>
  <c r="X24" i="10"/>
  <c r="H18" i="11"/>
  <c r="J15" i="11"/>
  <c r="N12" i="11"/>
  <c r="J21" i="11"/>
  <c r="J20" i="11"/>
  <c r="J18" i="11"/>
  <c r="J16" i="11"/>
  <c r="J27" i="11"/>
  <c r="J22" i="11"/>
  <c r="J36" i="11"/>
  <c r="J25" i="11"/>
  <c r="J31" i="11"/>
  <c r="J34" i="11"/>
  <c r="J24" i="11"/>
  <c r="J33" i="11"/>
  <c r="J29" i="11"/>
  <c r="X13" i="11"/>
  <c r="Z15" i="11"/>
  <c r="X21" i="11"/>
  <c r="Z15" i="13"/>
  <c r="Z25" i="13"/>
  <c r="X24" i="16"/>
  <c r="J20" i="17"/>
  <c r="J18" i="17"/>
  <c r="J16" i="17"/>
  <c r="H18" i="17"/>
  <c r="J15" i="17"/>
  <c r="N12" i="17"/>
  <c r="J24" i="17"/>
  <c r="J22" i="17"/>
  <c r="J34" i="17"/>
  <c r="J27" i="17"/>
  <c r="J21" i="17"/>
  <c r="J33" i="17"/>
  <c r="J25" i="17"/>
  <c r="J36" i="17"/>
  <c r="J29" i="17"/>
  <c r="J31" i="17"/>
  <c r="N13" i="19"/>
  <c r="Z24" i="23"/>
  <c r="X33" i="28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0" i="5"/>
  <c r="J18" i="5"/>
  <c r="J16" i="5"/>
  <c r="J15" i="5"/>
  <c r="H18" i="5"/>
  <c r="J21" i="5"/>
  <c r="J24" i="5"/>
  <c r="J22" i="5"/>
  <c r="X13" i="5"/>
  <c r="Z15" i="5"/>
  <c r="X21" i="5"/>
  <c r="N15" i="7"/>
  <c r="L21" i="7"/>
  <c r="L16" i="8"/>
  <c r="L20" i="8"/>
  <c r="Z21" i="10"/>
  <c r="X25" i="10"/>
  <c r="X29" i="10"/>
  <c r="X33" i="10"/>
  <c r="X34" i="10"/>
  <c r="Z13" i="11"/>
  <c r="Z16" i="11"/>
  <c r="Z20" i="11"/>
  <c r="X22" i="11"/>
  <c r="X24" i="11"/>
  <c r="L12" i="13"/>
  <c r="F36" i="13"/>
  <c r="F34" i="13"/>
  <c r="F33" i="13"/>
  <c r="F31" i="13"/>
  <c r="F29" i="13"/>
  <c r="F27" i="13"/>
  <c r="F25" i="13"/>
  <c r="F24" i="13"/>
  <c r="F22" i="13"/>
  <c r="D18" i="13"/>
  <c r="F15" i="13"/>
  <c r="F18" i="13"/>
  <c r="F21" i="13"/>
  <c r="F16" i="13"/>
  <c r="F20" i="13"/>
  <c r="N20" i="13"/>
  <c r="Z34" i="13"/>
  <c r="X16" i="14"/>
  <c r="N25" i="16"/>
  <c r="N33" i="16"/>
  <c r="N13" i="17"/>
  <c r="N33" i="19"/>
  <c r="X16" i="25"/>
  <c r="N29" i="26"/>
  <c r="X34" i="2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2" i="10"/>
  <c r="R36" i="10"/>
  <c r="R34" i="10"/>
  <c r="R33" i="10"/>
  <c r="R31" i="10"/>
  <c r="R29" i="10"/>
  <c r="R27" i="10"/>
  <c r="R25" i="10"/>
  <c r="R24" i="10"/>
  <c r="R22" i="10"/>
  <c r="R21" i="10"/>
  <c r="R15" i="10"/>
  <c r="R18" i="10"/>
  <c r="R20" i="10"/>
  <c r="P18" i="10"/>
  <c r="R16" i="10"/>
  <c r="Z22" i="10"/>
  <c r="Z24" i="10"/>
  <c r="Z21" i="11"/>
  <c r="X25" i="11"/>
  <c r="X29" i="11"/>
  <c r="X33" i="11"/>
  <c r="X34" i="11"/>
  <c r="N12" i="13"/>
  <c r="J24" i="13"/>
  <c r="J22" i="13"/>
  <c r="J21" i="13"/>
  <c r="J20" i="13"/>
  <c r="J18" i="13"/>
  <c r="J16" i="13"/>
  <c r="J33" i="13"/>
  <c r="J36" i="13"/>
  <c r="J27" i="13"/>
  <c r="J31" i="13"/>
  <c r="J29" i="13"/>
  <c r="H18" i="13"/>
  <c r="J25" i="13"/>
  <c r="J15" i="13"/>
  <c r="J34" i="13"/>
  <c r="X20" i="13"/>
  <c r="L21" i="14"/>
  <c r="N33" i="14"/>
  <c r="X13" i="16"/>
  <c r="X20" i="17"/>
  <c r="X15" i="19"/>
  <c r="X22" i="19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R15" i="4"/>
  <c r="P18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V21" i="13"/>
  <c r="V20" i="13"/>
  <c r="V18" i="13"/>
  <c r="V16" i="13"/>
  <c r="T18" i="13"/>
  <c r="V15" i="13"/>
  <c r="V36" i="13"/>
  <c r="V34" i="13"/>
  <c r="V33" i="13"/>
  <c r="V31" i="13"/>
  <c r="V29" i="13"/>
  <c r="V27" i="13"/>
  <c r="V25" i="13"/>
  <c r="V24" i="13"/>
  <c r="Z12" i="13"/>
  <c r="V22" i="13"/>
  <c r="N16" i="13"/>
  <c r="Z24" i="14"/>
  <c r="Z13" i="16"/>
  <c r="Z20" i="16"/>
  <c r="X13" i="17"/>
  <c r="Z15" i="19"/>
  <c r="X33" i="19"/>
  <c r="L33" i="26"/>
  <c r="Z16" i="29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X16" i="13"/>
  <c r="L24" i="13"/>
  <c r="N29" i="14"/>
  <c r="X15" i="16"/>
  <c r="N34" i="16"/>
  <c r="Z24" i="19"/>
  <c r="L16" i="4"/>
  <c r="L20" i="4"/>
  <c r="Z12" i="5"/>
  <c r="V24" i="5"/>
  <c r="V22" i="5"/>
  <c r="V20" i="5"/>
  <c r="V18" i="5"/>
  <c r="V16" i="5"/>
  <c r="T18" i="5"/>
  <c r="V15" i="5"/>
  <c r="V31" i="5"/>
  <c r="V29" i="5"/>
  <c r="V33" i="5"/>
  <c r="V21" i="5"/>
  <c r="V36" i="5"/>
  <c r="V27" i="5"/>
  <c r="V34" i="5"/>
  <c r="V2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N15" i="10"/>
  <c r="L21" i="10"/>
  <c r="L16" i="11"/>
  <c r="L20" i="11"/>
  <c r="L21" i="13"/>
  <c r="Z15" i="16"/>
  <c r="X21" i="16"/>
  <c r="Z16" i="19"/>
  <c r="L25" i="19"/>
  <c r="Z34" i="20"/>
  <c r="Z29" i="22"/>
  <c r="X20" i="29"/>
  <c r="X15" i="31"/>
  <c r="N16" i="10"/>
  <c r="N20" i="10"/>
  <c r="L22" i="10"/>
  <c r="L24" i="10"/>
  <c r="N15" i="11"/>
  <c r="L21" i="11"/>
  <c r="N15" i="14"/>
  <c r="N25" i="14"/>
  <c r="Z15" i="17"/>
  <c r="X21" i="17"/>
  <c r="N16" i="4"/>
  <c r="N20" i="4"/>
  <c r="L22" i="4"/>
  <c r="L24" i="4"/>
  <c r="N15" i="5"/>
  <c r="L21" i="5"/>
  <c r="J24" i="7"/>
  <c r="J22" i="7"/>
  <c r="J20" i="7"/>
  <c r="J18" i="7"/>
  <c r="J16" i="7"/>
  <c r="H18" i="7"/>
  <c r="J15" i="7"/>
  <c r="N12" i="7"/>
  <c r="J36" i="7"/>
  <c r="J31" i="7"/>
  <c r="J25" i="7"/>
  <c r="J34" i="7"/>
  <c r="J29" i="7"/>
  <c r="J21" i="7"/>
  <c r="J33" i="7"/>
  <c r="J27" i="7"/>
  <c r="X13" i="7"/>
  <c r="Z15" i="7"/>
  <c r="X21" i="7"/>
  <c r="F36" i="8"/>
  <c r="F34" i="8"/>
  <c r="F33" i="8"/>
  <c r="F31" i="8"/>
  <c r="F29" i="8"/>
  <c r="F27" i="8"/>
  <c r="F25" i="8"/>
  <c r="F21" i="8"/>
  <c r="F20" i="8"/>
  <c r="F18" i="8"/>
  <c r="F16" i="8"/>
  <c r="D18" i="8"/>
  <c r="F15" i="8"/>
  <c r="L12" i="8"/>
  <c r="F24" i="8"/>
  <c r="F22" i="8"/>
  <c r="X16" i="8"/>
  <c r="X20" i="8"/>
  <c r="L13" i="10"/>
  <c r="N21" i="10"/>
  <c r="L25" i="10"/>
  <c r="L29" i="10"/>
  <c r="L33" i="10"/>
  <c r="L34" i="10"/>
  <c r="N16" i="11"/>
  <c r="N20" i="11"/>
  <c r="L22" i="11"/>
  <c r="L24" i="11"/>
  <c r="X13" i="13"/>
  <c r="X15" i="14"/>
  <c r="N34" i="14"/>
  <c r="N29" i="16"/>
  <c r="N22" i="17"/>
  <c r="F36" i="20"/>
  <c r="F34" i="20"/>
  <c r="F33" i="20"/>
  <c r="F31" i="20"/>
  <c r="F29" i="20"/>
  <c r="F27" i="20"/>
  <c r="F25" i="20"/>
  <c r="F20" i="20"/>
  <c r="F18" i="20"/>
  <c r="F16" i="20"/>
  <c r="D18" i="20"/>
  <c r="F15" i="20"/>
  <c r="F22" i="20"/>
  <c r="F24" i="20"/>
  <c r="L12" i="20"/>
  <c r="F21" i="20"/>
  <c r="L24" i="20"/>
  <c r="X33" i="22"/>
  <c r="L16" i="13"/>
  <c r="L20" i="13"/>
  <c r="V20" i="14"/>
  <c r="V18" i="14"/>
  <c r="V16" i="14"/>
  <c r="T18" i="14"/>
  <c r="V15" i="14"/>
  <c r="V24" i="14"/>
  <c r="V22" i="14"/>
  <c r="V29" i="14"/>
  <c r="V33" i="14"/>
  <c r="V21" i="14"/>
  <c r="V36" i="14"/>
  <c r="V27" i="14"/>
  <c r="Z12" i="14"/>
  <c r="V31" i="14"/>
  <c r="V25" i="14"/>
  <c r="V34" i="14"/>
  <c r="L15" i="14"/>
  <c r="Z25" i="14"/>
  <c r="Z29" i="14"/>
  <c r="Z33" i="14"/>
  <c r="Z34" i="14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6" i="16"/>
  <c r="X20" i="16"/>
  <c r="X15" i="17"/>
  <c r="N25" i="17"/>
  <c r="N29" i="17"/>
  <c r="N33" i="17"/>
  <c r="N34" i="17"/>
  <c r="N21" i="19"/>
  <c r="N21" i="20"/>
  <c r="X34" i="20"/>
  <c r="Z21" i="22"/>
  <c r="X24" i="23"/>
  <c r="N21" i="26"/>
  <c r="Z15" i="28"/>
  <c r="L13" i="13"/>
  <c r="N21" i="13"/>
  <c r="L25" i="13"/>
  <c r="L29" i="13"/>
  <c r="L33" i="13"/>
  <c r="L34" i="13"/>
  <c r="N16" i="14"/>
  <c r="N20" i="14"/>
  <c r="L22" i="14"/>
  <c r="L24" i="14"/>
  <c r="Z21" i="16"/>
  <c r="X25" i="16"/>
  <c r="X29" i="16"/>
  <c r="X33" i="16"/>
  <c r="X34" i="16"/>
  <c r="Z13" i="17"/>
  <c r="Z16" i="17"/>
  <c r="Z20" i="17"/>
  <c r="X22" i="17"/>
  <c r="X24" i="17"/>
  <c r="X21" i="19"/>
  <c r="Z22" i="19"/>
  <c r="N25" i="19"/>
  <c r="Z21" i="20"/>
  <c r="Z33" i="22"/>
  <c r="X20" i="25"/>
  <c r="N33" i="26"/>
  <c r="X25" i="28"/>
  <c r="Z20" i="29"/>
  <c r="X25" i="37"/>
  <c r="N13" i="13"/>
  <c r="N22" i="13"/>
  <c r="N24" i="13"/>
  <c r="L13" i="14"/>
  <c r="N21" i="14"/>
  <c r="L25" i="14"/>
  <c r="L29" i="14"/>
  <c r="L33" i="14"/>
  <c r="L34" i="14"/>
  <c r="X12" i="16"/>
  <c r="R36" i="16"/>
  <c r="R34" i="16"/>
  <c r="R33" i="16"/>
  <c r="R31" i="16"/>
  <c r="R29" i="16"/>
  <c r="R27" i="16"/>
  <c r="R25" i="16"/>
  <c r="R24" i="16"/>
  <c r="R22" i="16"/>
  <c r="P18" i="16"/>
  <c r="R15" i="16"/>
  <c r="R21" i="16"/>
  <c r="R20" i="16"/>
  <c r="R16" i="16"/>
  <c r="R18" i="16"/>
  <c r="Z22" i="16"/>
  <c r="Z24" i="16"/>
  <c r="Z21" i="17"/>
  <c r="X25" i="17"/>
  <c r="X29" i="17"/>
  <c r="X33" i="17"/>
  <c r="X34" i="17"/>
  <c r="F20" i="19"/>
  <c r="F18" i="19"/>
  <c r="F33" i="19"/>
  <c r="F27" i="19"/>
  <c r="F22" i="19"/>
  <c r="F15" i="19"/>
  <c r="F16" i="19"/>
  <c r="F34" i="19"/>
  <c r="F29" i="19"/>
  <c r="L12" i="19"/>
  <c r="F24" i="19"/>
  <c r="D18" i="19"/>
  <c r="F36" i="19"/>
  <c r="F25" i="19"/>
  <c r="F31" i="19"/>
  <c r="F21" i="19"/>
  <c r="X13" i="19"/>
  <c r="L13" i="20"/>
  <c r="X34" i="22"/>
  <c r="L34" i="26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34" i="37"/>
  <c r="X15" i="13"/>
  <c r="N25" i="13"/>
  <c r="N29" i="13"/>
  <c r="N33" i="13"/>
  <c r="N34" i="13"/>
  <c r="N13" i="14"/>
  <c r="N22" i="14"/>
  <c r="N24" i="14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V15" i="16"/>
  <c r="T18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15" i="17"/>
  <c r="R20" i="17"/>
  <c r="R18" i="17"/>
  <c r="R16" i="17"/>
  <c r="P18" i="17"/>
  <c r="Z22" i="17"/>
  <c r="Z24" i="17"/>
  <c r="J36" i="19"/>
  <c r="J34" i="19"/>
  <c r="J33" i="19"/>
  <c r="J31" i="19"/>
  <c r="J29" i="19"/>
  <c r="J27" i="19"/>
  <c r="J25" i="19"/>
  <c r="J15" i="19"/>
  <c r="J16" i="19"/>
  <c r="J24" i="19"/>
  <c r="N12" i="19"/>
  <c r="J18" i="19"/>
  <c r="H18" i="19"/>
  <c r="J20" i="19"/>
  <c r="J22" i="19"/>
  <c r="J21" i="19"/>
  <c r="Z13" i="19"/>
  <c r="Z21" i="19"/>
  <c r="L29" i="19"/>
  <c r="L34" i="19"/>
  <c r="N13" i="20"/>
  <c r="N16" i="20"/>
  <c r="N20" i="20"/>
  <c r="L22" i="20"/>
  <c r="Z34" i="22"/>
  <c r="F24" i="25"/>
  <c r="F22" i="25"/>
  <c r="F21" i="25"/>
  <c r="F20" i="25"/>
  <c r="F18" i="25"/>
  <c r="F16" i="25"/>
  <c r="D18" i="25"/>
  <c r="F15" i="25"/>
  <c r="L12" i="25"/>
  <c r="F36" i="25"/>
  <c r="F25" i="25"/>
  <c r="F34" i="25"/>
  <c r="F33" i="25"/>
  <c r="F31" i="25"/>
  <c r="F27" i="25"/>
  <c r="F29" i="25"/>
  <c r="X15" i="26"/>
  <c r="N34" i="26"/>
  <c r="N34" i="31"/>
  <c r="L25" i="3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L16" i="19"/>
  <c r="N24" i="19"/>
  <c r="X25" i="19"/>
  <c r="L25" i="20"/>
  <c r="L29" i="20"/>
  <c r="X25" i="22"/>
  <c r="Z20" i="23"/>
  <c r="N13" i="25"/>
  <c r="N22" i="25"/>
  <c r="L25" i="26"/>
  <c r="N15" i="16"/>
  <c r="L21" i="16"/>
  <c r="L16" i="17"/>
  <c r="L20" i="17"/>
  <c r="Z20" i="19"/>
  <c r="N29" i="19"/>
  <c r="N34" i="19"/>
  <c r="Z13" i="20"/>
  <c r="X16" i="20"/>
  <c r="X20" i="20"/>
  <c r="X33" i="20"/>
  <c r="T18" i="22"/>
  <c r="V15" i="22"/>
  <c r="Z12" i="22"/>
  <c r="V36" i="22"/>
  <c r="V34" i="22"/>
  <c r="V33" i="22"/>
  <c r="V31" i="22"/>
  <c r="V29" i="22"/>
  <c r="V27" i="22"/>
  <c r="V25" i="22"/>
  <c r="V21" i="22"/>
  <c r="V20" i="22"/>
  <c r="V18" i="22"/>
  <c r="V24" i="22"/>
  <c r="V22" i="22"/>
  <c r="V16" i="22"/>
  <c r="Z25" i="22"/>
  <c r="N25" i="26"/>
  <c r="X29" i="28"/>
  <c r="Z13" i="29"/>
  <c r="X22" i="29"/>
  <c r="Z20" i="38"/>
  <c r="Z13" i="13"/>
  <c r="Z16" i="13"/>
  <c r="Z20" i="13"/>
  <c r="X22" i="13"/>
  <c r="X24" i="13"/>
  <c r="N12" i="14"/>
  <c r="J21" i="14"/>
  <c r="J20" i="14"/>
  <c r="J18" i="14"/>
  <c r="J16" i="14"/>
  <c r="H18" i="14"/>
  <c r="J15" i="14"/>
  <c r="J25" i="14"/>
  <c r="J29" i="14"/>
  <c r="J33" i="14"/>
  <c r="J36" i="14"/>
  <c r="J24" i="14"/>
  <c r="J27" i="14"/>
  <c r="J34" i="14"/>
  <c r="J22" i="14"/>
  <c r="J31" i="14"/>
  <c r="X13" i="14"/>
  <c r="Z15" i="14"/>
  <c r="X21" i="14"/>
  <c r="N16" i="16"/>
  <c r="N20" i="16"/>
  <c r="L22" i="16"/>
  <c r="L24" i="16"/>
  <c r="N15" i="17"/>
  <c r="L21" i="17"/>
  <c r="P18" i="19"/>
  <c r="R15" i="19"/>
  <c r="R24" i="19"/>
  <c r="X12" i="19"/>
  <c r="R18" i="19"/>
  <c r="R31" i="19"/>
  <c r="R25" i="19"/>
  <c r="R36" i="19"/>
  <c r="R20" i="19"/>
  <c r="R21" i="19"/>
  <c r="R33" i="19"/>
  <c r="R27" i="19"/>
  <c r="R16" i="19"/>
  <c r="R34" i="19"/>
  <c r="R22" i="19"/>
  <c r="R29" i="19"/>
  <c r="N16" i="19"/>
  <c r="L22" i="19"/>
  <c r="Z16" i="20"/>
  <c r="Z20" i="20"/>
  <c r="X22" i="20"/>
  <c r="Z33" i="20"/>
  <c r="N24" i="25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X21" i="28"/>
  <c r="X20" i="32"/>
  <c r="Z21" i="13"/>
  <c r="X25" i="13"/>
  <c r="X29" i="13"/>
  <c r="X33" i="13"/>
  <c r="X34" i="13"/>
  <c r="Z13" i="14"/>
  <c r="Z16" i="14"/>
  <c r="Z20" i="14"/>
  <c r="X22" i="14"/>
  <c r="X24" i="14"/>
  <c r="L13" i="16"/>
  <c r="N21" i="16"/>
  <c r="L25" i="16"/>
  <c r="L29" i="16"/>
  <c r="L33" i="16"/>
  <c r="L34" i="16"/>
  <c r="N16" i="17"/>
  <c r="N20" i="17"/>
  <c r="L22" i="17"/>
  <c r="L24" i="17"/>
  <c r="V24" i="19"/>
  <c r="V22" i="19"/>
  <c r="T18" i="19"/>
  <c r="V31" i="19"/>
  <c r="V25" i="19"/>
  <c r="V20" i="19"/>
  <c r="V36" i="19"/>
  <c r="V21" i="19"/>
  <c r="V33" i="19"/>
  <c r="V27" i="19"/>
  <c r="V15" i="19"/>
  <c r="V34" i="19"/>
  <c r="V29" i="19"/>
  <c r="V18" i="19"/>
  <c r="V16" i="19"/>
  <c r="Z12" i="19"/>
  <c r="N15" i="19"/>
  <c r="X24" i="19"/>
  <c r="L33" i="19"/>
  <c r="L15" i="20"/>
  <c r="X25" i="20"/>
  <c r="X29" i="20"/>
  <c r="R20" i="23"/>
  <c r="R18" i="23"/>
  <c r="R16" i="23"/>
  <c r="P18" i="23"/>
  <c r="R15" i="23"/>
  <c r="X12" i="23"/>
  <c r="R24" i="23"/>
  <c r="R22" i="23"/>
  <c r="R31" i="23"/>
  <c r="R21" i="23"/>
  <c r="R29" i="23"/>
  <c r="R27" i="23"/>
  <c r="R36" i="23"/>
  <c r="R25" i="23"/>
  <c r="R34" i="23"/>
  <c r="R33" i="23"/>
  <c r="Z21" i="28"/>
  <c r="X24" i="29"/>
  <c r="N20" i="35"/>
  <c r="R36" i="13"/>
  <c r="R34" i="13"/>
  <c r="R33" i="13"/>
  <c r="R31" i="13"/>
  <c r="R29" i="13"/>
  <c r="R27" i="13"/>
  <c r="R25" i="13"/>
  <c r="R24" i="13"/>
  <c r="R22" i="13"/>
  <c r="R21" i="13"/>
  <c r="X12" i="13"/>
  <c r="R16" i="13"/>
  <c r="R20" i="13"/>
  <c r="P18" i="13"/>
  <c r="R15" i="13"/>
  <c r="R18" i="13"/>
  <c r="Z22" i="13"/>
  <c r="Z24" i="13"/>
  <c r="Z21" i="14"/>
  <c r="X25" i="14"/>
  <c r="X29" i="14"/>
  <c r="X33" i="14"/>
  <c r="X34" i="14"/>
  <c r="N13" i="16"/>
  <c r="N22" i="16"/>
  <c r="N24" i="16"/>
  <c r="L13" i="17"/>
  <c r="N21" i="17"/>
  <c r="L25" i="17"/>
  <c r="L29" i="17"/>
  <c r="L33" i="17"/>
  <c r="L34" i="17"/>
  <c r="N22" i="19"/>
  <c r="X29" i="19"/>
  <c r="X34" i="19"/>
  <c r="Z25" i="20"/>
  <c r="Z29" i="20"/>
  <c r="L15" i="22"/>
  <c r="X29" i="22"/>
  <c r="Z13" i="23"/>
  <c r="X22" i="23"/>
  <c r="L29" i="26"/>
  <c r="X13" i="28"/>
  <c r="X16" i="29"/>
  <c r="X13" i="31"/>
  <c r="J24" i="20"/>
  <c r="J22" i="20"/>
  <c r="J21" i="20"/>
  <c r="J34" i="20"/>
  <c r="J15" i="20"/>
  <c r="J29" i="20"/>
  <c r="J25" i="20"/>
  <c r="J20" i="20"/>
  <c r="J16" i="20"/>
  <c r="J33" i="20"/>
  <c r="J36" i="20"/>
  <c r="J31" i="20"/>
  <c r="J18" i="20"/>
  <c r="H18" i="20"/>
  <c r="N12" i="20"/>
  <c r="J27" i="20"/>
  <c r="X13" i="20"/>
  <c r="Z15" i="20"/>
  <c r="X21" i="20"/>
  <c r="R21" i="22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R24" i="22"/>
  <c r="R22" i="22"/>
  <c r="Z22" i="22"/>
  <c r="Z24" i="22"/>
  <c r="Z21" i="23"/>
  <c r="X25" i="23"/>
  <c r="X29" i="23"/>
  <c r="X33" i="23"/>
  <c r="X34" i="23"/>
  <c r="X15" i="25"/>
  <c r="N25" i="25"/>
  <c r="N29" i="25"/>
  <c r="N33" i="25"/>
  <c r="N34" i="25"/>
  <c r="N13" i="26"/>
  <c r="N22" i="26"/>
  <c r="N24" i="26"/>
  <c r="Z13" i="28"/>
  <c r="Z16" i="28"/>
  <c r="Z20" i="28"/>
  <c r="X22" i="28"/>
  <c r="X24" i="28"/>
  <c r="J24" i="29"/>
  <c r="J22" i="29"/>
  <c r="J21" i="29"/>
  <c r="J20" i="29"/>
  <c r="J18" i="29"/>
  <c r="J16" i="29"/>
  <c r="H18" i="29"/>
  <c r="J15" i="29"/>
  <c r="N12" i="29"/>
  <c r="J36" i="29"/>
  <c r="J25" i="29"/>
  <c r="J34" i="29"/>
  <c r="J33" i="29"/>
  <c r="J31" i="29"/>
  <c r="J27" i="29"/>
  <c r="J29" i="29"/>
  <c r="X13" i="29"/>
  <c r="Z15" i="29"/>
  <c r="X21" i="29"/>
  <c r="N15" i="31"/>
  <c r="L21" i="31"/>
  <c r="N25" i="34"/>
  <c r="X20" i="38"/>
  <c r="L16" i="22"/>
  <c r="L20" i="22"/>
  <c r="Z12" i="23"/>
  <c r="V36" i="23"/>
  <c r="V34" i="23"/>
  <c r="V33" i="23"/>
  <c r="V31" i="23"/>
  <c r="V29" i="23"/>
  <c r="V27" i="23"/>
  <c r="V25" i="23"/>
  <c r="V24" i="23"/>
  <c r="V22" i="23"/>
  <c r="V20" i="23"/>
  <c r="V18" i="23"/>
  <c r="V16" i="23"/>
  <c r="V21" i="23"/>
  <c r="T18" i="23"/>
  <c r="V15" i="23"/>
  <c r="L15" i="23"/>
  <c r="Z25" i="23"/>
  <c r="Z29" i="23"/>
  <c r="Z33" i="23"/>
  <c r="Z34" i="23"/>
  <c r="J20" i="25"/>
  <c r="J18" i="25"/>
  <c r="J16" i="25"/>
  <c r="H18" i="25"/>
  <c r="J15" i="25"/>
  <c r="N12" i="25"/>
  <c r="J24" i="25"/>
  <c r="J22" i="25"/>
  <c r="J34" i="25"/>
  <c r="J33" i="25"/>
  <c r="J31" i="25"/>
  <c r="J21" i="25"/>
  <c r="J29" i="25"/>
  <c r="J36" i="25"/>
  <c r="J27" i="25"/>
  <c r="J25" i="25"/>
  <c r="X13" i="25"/>
  <c r="Z15" i="25"/>
  <c r="X21" i="25"/>
  <c r="F21" i="26"/>
  <c r="F20" i="26"/>
  <c r="F18" i="26"/>
  <c r="F16" i="26"/>
  <c r="D18" i="26"/>
  <c r="F15" i="26"/>
  <c r="L12" i="26"/>
  <c r="F36" i="26"/>
  <c r="F34" i="26"/>
  <c r="F33" i="26"/>
  <c r="F31" i="26"/>
  <c r="F29" i="26"/>
  <c r="F27" i="26"/>
  <c r="F25" i="26"/>
  <c r="F24" i="26"/>
  <c r="F22" i="26"/>
  <c r="X16" i="26"/>
  <c r="X20" i="26"/>
  <c r="P18" i="28"/>
  <c r="R15" i="28"/>
  <c r="X12" i="28"/>
  <c r="R36" i="28"/>
  <c r="R34" i="28"/>
  <c r="R33" i="28"/>
  <c r="R31" i="28"/>
  <c r="R29" i="28"/>
  <c r="R27" i="28"/>
  <c r="R25" i="28"/>
  <c r="R21" i="28"/>
  <c r="R20" i="28"/>
  <c r="R18" i="28"/>
  <c r="R22" i="28"/>
  <c r="R16" i="28"/>
  <c r="R24" i="28"/>
  <c r="Z22" i="28"/>
  <c r="Z24" i="28"/>
  <c r="Z21" i="29"/>
  <c r="X25" i="29"/>
  <c r="X29" i="29"/>
  <c r="X33" i="29"/>
  <c r="X34" i="29"/>
  <c r="Z15" i="31"/>
  <c r="X21" i="31"/>
  <c r="F34" i="38"/>
  <c r="F33" i="38"/>
  <c r="F31" i="38"/>
  <c r="F29" i="38"/>
  <c r="F27" i="38"/>
  <c r="F25" i="38"/>
  <c r="F24" i="38"/>
  <c r="F22" i="38"/>
  <c r="F36" i="38"/>
  <c r="F21" i="38"/>
  <c r="F20" i="38"/>
  <c r="F18" i="38"/>
  <c r="F16" i="38"/>
  <c r="D18" i="38"/>
  <c r="F15" i="38"/>
  <c r="L12" i="38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0" i="20"/>
  <c r="R18" i="20"/>
  <c r="R16" i="20"/>
  <c r="R22" i="20"/>
  <c r="R24" i="20"/>
  <c r="R21" i="20"/>
  <c r="P18" i="20"/>
  <c r="R15" i="20"/>
  <c r="Z22" i="20"/>
  <c r="Z24" i="20"/>
  <c r="N15" i="22"/>
  <c r="L21" i="22"/>
  <c r="L16" i="23"/>
  <c r="L20" i="23"/>
  <c r="Z13" i="25"/>
  <c r="Z16" i="25"/>
  <c r="Z20" i="25"/>
  <c r="X22" i="25"/>
  <c r="X24" i="25"/>
  <c r="H18" i="26"/>
  <c r="J15" i="26"/>
  <c r="N12" i="26"/>
  <c r="J36" i="26"/>
  <c r="J34" i="26"/>
  <c r="J33" i="26"/>
  <c r="J31" i="26"/>
  <c r="J29" i="26"/>
  <c r="J27" i="26"/>
  <c r="J25" i="26"/>
  <c r="J21" i="26"/>
  <c r="J20" i="26"/>
  <c r="J18" i="26"/>
  <c r="J16" i="26"/>
  <c r="J24" i="26"/>
  <c r="J22" i="26"/>
  <c r="X13" i="26"/>
  <c r="Z15" i="26"/>
  <c r="X21" i="26"/>
  <c r="Z12" i="28"/>
  <c r="V36" i="28"/>
  <c r="V34" i="28"/>
  <c r="V33" i="28"/>
  <c r="V31" i="28"/>
  <c r="V29" i="28"/>
  <c r="V27" i="28"/>
  <c r="V25" i="28"/>
  <c r="V24" i="28"/>
  <c r="V22" i="28"/>
  <c r="V21" i="28"/>
  <c r="T18" i="28"/>
  <c r="V15" i="28"/>
  <c r="V20" i="28"/>
  <c r="V18" i="28"/>
  <c r="V16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0" i="29"/>
  <c r="R18" i="29"/>
  <c r="R16" i="29"/>
  <c r="R15" i="29"/>
  <c r="R21" i="29"/>
  <c r="P18" i="29"/>
  <c r="Z22" i="29"/>
  <c r="Z24" i="29"/>
  <c r="L16" i="32"/>
  <c r="L29" i="34"/>
  <c r="L22" i="35"/>
  <c r="X16" i="41"/>
  <c r="N16" i="22"/>
  <c r="N20" i="22"/>
  <c r="L22" i="22"/>
  <c r="L24" i="22"/>
  <c r="N15" i="23"/>
  <c r="L21" i="23"/>
  <c r="Z21" i="25"/>
  <c r="X25" i="25"/>
  <c r="X29" i="25"/>
  <c r="X33" i="25"/>
  <c r="X34" i="25"/>
  <c r="Z13" i="26"/>
  <c r="Z16" i="26"/>
  <c r="Z20" i="26"/>
  <c r="X22" i="26"/>
  <c r="X2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V15" i="29"/>
  <c r="T18" i="29"/>
  <c r="L15" i="29"/>
  <c r="Z25" i="29"/>
  <c r="Z29" i="29"/>
  <c r="Z33" i="29"/>
  <c r="Z34" i="29"/>
  <c r="N29" i="31"/>
  <c r="N22" i="32"/>
  <c r="N29" i="34"/>
  <c r="N13" i="35"/>
  <c r="N22" i="35"/>
  <c r="L21" i="19"/>
  <c r="L16" i="20"/>
  <c r="L20" i="20"/>
  <c r="L13" i="22"/>
  <c r="N21" i="22"/>
  <c r="L25" i="22"/>
  <c r="L29" i="22"/>
  <c r="L33" i="22"/>
  <c r="L34" i="22"/>
  <c r="N16" i="23"/>
  <c r="N20" i="23"/>
  <c r="L22" i="23"/>
  <c r="L2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R15" i="25"/>
  <c r="P18" i="25"/>
  <c r="Z22" i="25"/>
  <c r="Z24" i="25"/>
  <c r="Z21" i="26"/>
  <c r="X25" i="26"/>
  <c r="X29" i="26"/>
  <c r="X33" i="26"/>
  <c r="X34" i="26"/>
  <c r="N15" i="28"/>
  <c r="L21" i="28"/>
  <c r="L16" i="29"/>
  <c r="L20" i="29"/>
  <c r="X16" i="32"/>
  <c r="N21" i="34"/>
  <c r="L24" i="35"/>
  <c r="X29" i="37"/>
  <c r="Z13" i="38"/>
  <c r="X22" i="38"/>
  <c r="L24" i="19"/>
  <c r="N15" i="20"/>
  <c r="L21" i="20"/>
  <c r="N13" i="22"/>
  <c r="N22" i="22"/>
  <c r="N24" i="22"/>
  <c r="L13" i="23"/>
  <c r="N21" i="23"/>
  <c r="L25" i="23"/>
  <c r="L29" i="23"/>
  <c r="L33" i="23"/>
  <c r="L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N16" i="28"/>
  <c r="N20" i="28"/>
  <c r="L22" i="28"/>
  <c r="L24" i="28"/>
  <c r="N15" i="29"/>
  <c r="L21" i="29"/>
  <c r="N24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21" i="37"/>
  <c r="N34" i="41"/>
  <c r="N25" i="22"/>
  <c r="N29" i="22"/>
  <c r="N33" i="22"/>
  <c r="N34" i="22"/>
  <c r="N13" i="23"/>
  <c r="N22" i="23"/>
  <c r="N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L13" i="28"/>
  <c r="N21" i="28"/>
  <c r="L25" i="28"/>
  <c r="L29" i="28"/>
  <c r="L33" i="28"/>
  <c r="L34" i="28"/>
  <c r="N16" i="29"/>
  <c r="N20" i="29"/>
  <c r="L22" i="29"/>
  <c r="L24" i="29"/>
  <c r="N24" i="32"/>
  <c r="L13" i="34"/>
  <c r="L33" i="34"/>
  <c r="N16" i="35"/>
  <c r="Z21" i="37"/>
  <c r="X24" i="38"/>
  <c r="L33" i="20"/>
  <c r="L34" i="20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X16" i="22"/>
  <c r="X20" i="22"/>
  <c r="X15" i="23"/>
  <c r="N25" i="23"/>
  <c r="N29" i="23"/>
  <c r="N33" i="23"/>
  <c r="N34" i="23"/>
  <c r="N15" i="25"/>
  <c r="L21" i="25"/>
  <c r="L16" i="26"/>
  <c r="L20" i="26"/>
  <c r="N13" i="28"/>
  <c r="N22" i="28"/>
  <c r="N24" i="28"/>
  <c r="L13" i="29"/>
  <c r="N21" i="29"/>
  <c r="L25" i="29"/>
  <c r="L29" i="29"/>
  <c r="L33" i="29"/>
  <c r="L34" i="29"/>
  <c r="J21" i="31"/>
  <c r="J20" i="31"/>
  <c r="J18" i="31"/>
  <c r="J16" i="31"/>
  <c r="H18" i="31"/>
  <c r="J15" i="31"/>
  <c r="N12" i="31"/>
  <c r="J36" i="31"/>
  <c r="J34" i="31"/>
  <c r="J33" i="31"/>
  <c r="J31" i="31"/>
  <c r="J29" i="31"/>
  <c r="J27" i="31"/>
  <c r="J25" i="31"/>
  <c r="J24" i="31"/>
  <c r="J22" i="31"/>
  <c r="F24" i="32"/>
  <c r="F22" i="32"/>
  <c r="F21" i="32"/>
  <c r="F20" i="32"/>
  <c r="F18" i="32"/>
  <c r="F16" i="32"/>
  <c r="L12" i="32"/>
  <c r="F33" i="32"/>
  <c r="F25" i="32"/>
  <c r="F31" i="32"/>
  <c r="D18" i="32"/>
  <c r="F36" i="32"/>
  <c r="F29" i="32"/>
  <c r="F15" i="32"/>
  <c r="F34" i="32"/>
  <c r="F27" i="32"/>
  <c r="N33" i="34"/>
  <c r="X13" i="37"/>
  <c r="X16" i="38"/>
  <c r="N22" i="20"/>
  <c r="N24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N16" i="25"/>
  <c r="N20" i="25"/>
  <c r="L22" i="25"/>
  <c r="L24" i="25"/>
  <c r="N15" i="26"/>
  <c r="L21" i="26"/>
  <c r="X15" i="28"/>
  <c r="N25" i="28"/>
  <c r="N29" i="28"/>
  <c r="N33" i="28"/>
  <c r="N34" i="28"/>
  <c r="N13" i="29"/>
  <c r="N22" i="29"/>
  <c r="N24" i="29"/>
  <c r="L20" i="32"/>
  <c r="L34" i="34"/>
  <c r="X33" i="37"/>
  <c r="Z16" i="38"/>
  <c r="X16" i="19"/>
  <c r="X20" i="19"/>
  <c r="X15" i="20"/>
  <c r="N25" i="20"/>
  <c r="N29" i="20"/>
  <c r="N33" i="20"/>
  <c r="N34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L13" i="25"/>
  <c r="N21" i="25"/>
  <c r="L25" i="25"/>
  <c r="L29" i="25"/>
  <c r="L33" i="25"/>
  <c r="L34" i="25"/>
  <c r="N16" i="26"/>
  <c r="N20" i="26"/>
  <c r="L22" i="26"/>
  <c r="L24" i="26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L12" i="28"/>
  <c r="X16" i="28"/>
  <c r="X20" i="28"/>
  <c r="X15" i="29"/>
  <c r="N25" i="29"/>
  <c r="N29" i="29"/>
  <c r="N33" i="29"/>
  <c r="N34" i="29"/>
  <c r="N25" i="31"/>
  <c r="N33" i="31"/>
  <c r="N13" i="32"/>
  <c r="X15" i="34"/>
  <c r="N34" i="34"/>
  <c r="Z15" i="37"/>
  <c r="F36" i="31"/>
  <c r="F34" i="31"/>
  <c r="F33" i="31"/>
  <c r="F31" i="31"/>
  <c r="F29" i="31"/>
  <c r="F27" i="31"/>
  <c r="F25" i="31"/>
  <c r="F24" i="31"/>
  <c r="F22" i="31"/>
  <c r="F21" i="31"/>
  <c r="D18" i="31"/>
  <c r="F15" i="31"/>
  <c r="L12" i="31"/>
  <c r="F20" i="31"/>
  <c r="F18" i="31"/>
  <c r="F16" i="31"/>
  <c r="X16" i="31"/>
  <c r="X20" i="31"/>
  <c r="X15" i="32"/>
  <c r="N25" i="32"/>
  <c r="N29" i="32"/>
  <c r="N33" i="32"/>
  <c r="N34" i="32"/>
  <c r="N13" i="34"/>
  <c r="N22" i="34"/>
  <c r="N24" i="34"/>
  <c r="L13" i="35"/>
  <c r="N21" i="35"/>
  <c r="L25" i="35"/>
  <c r="L29" i="35"/>
  <c r="L33" i="35"/>
  <c r="L34" i="35"/>
  <c r="Z13" i="37"/>
  <c r="Z16" i="37"/>
  <c r="Z20" i="37"/>
  <c r="X22" i="37"/>
  <c r="X24" i="37"/>
  <c r="J24" i="38"/>
  <c r="J22" i="38"/>
  <c r="J36" i="38"/>
  <c r="J21" i="38"/>
  <c r="J20" i="38"/>
  <c r="J18" i="38"/>
  <c r="J16" i="38"/>
  <c r="H18" i="38"/>
  <c r="J15" i="38"/>
  <c r="N12" i="38"/>
  <c r="J27" i="38"/>
  <c r="J25" i="38"/>
  <c r="J34" i="38"/>
  <c r="J33" i="38"/>
  <c r="J31" i="38"/>
  <c r="J29" i="38"/>
  <c r="X13" i="38"/>
  <c r="Z15" i="38"/>
  <c r="X21" i="38"/>
  <c r="Z13" i="31"/>
  <c r="Z16" i="31"/>
  <c r="Z20" i="31"/>
  <c r="X22" i="31"/>
  <c r="X24" i="31"/>
  <c r="J20" i="32"/>
  <c r="J18" i="32"/>
  <c r="J16" i="32"/>
  <c r="H18" i="32"/>
  <c r="J15" i="32"/>
  <c r="N12" i="32"/>
  <c r="J24" i="32"/>
  <c r="J22" i="32"/>
  <c r="J31" i="32"/>
  <c r="J36" i="32"/>
  <c r="J29" i="32"/>
  <c r="J34" i="32"/>
  <c r="J27" i="32"/>
  <c r="J25" i="32"/>
  <c r="J21" i="32"/>
  <c r="J33" i="32"/>
  <c r="X13" i="32"/>
  <c r="Z15" i="32"/>
  <c r="X21" i="32"/>
  <c r="F21" i="34"/>
  <c r="F20" i="34"/>
  <c r="F18" i="34"/>
  <c r="F16" i="34"/>
  <c r="D18" i="34"/>
  <c r="F15" i="34"/>
  <c r="L12" i="34"/>
  <c r="F36" i="34"/>
  <c r="F34" i="34"/>
  <c r="F33" i="34"/>
  <c r="F31" i="34"/>
  <c r="F29" i="34"/>
  <c r="F27" i="34"/>
  <c r="F25" i="34"/>
  <c r="F24" i="34"/>
  <c r="F22" i="34"/>
  <c r="X16" i="34"/>
  <c r="X20" i="34"/>
  <c r="X15" i="35"/>
  <c r="N25" i="35"/>
  <c r="N29" i="35"/>
  <c r="N33" i="35"/>
  <c r="N34" i="35"/>
  <c r="P18" i="37"/>
  <c r="R15" i="37"/>
  <c r="X12" i="37"/>
  <c r="R36" i="37"/>
  <c r="R34" i="37"/>
  <c r="R33" i="37"/>
  <c r="R31" i="37"/>
  <c r="R29" i="37"/>
  <c r="R27" i="37"/>
  <c r="R25" i="37"/>
  <c r="R21" i="37"/>
  <c r="R22" i="37"/>
  <c r="R20" i="37"/>
  <c r="R18" i="37"/>
  <c r="R16" i="37"/>
  <c r="R24" i="37"/>
  <c r="Z22" i="37"/>
  <c r="Z24" i="37"/>
  <c r="Z21" i="38"/>
  <c r="X25" i="38"/>
  <c r="X29" i="38"/>
  <c r="X33" i="38"/>
  <c r="Z20" i="41"/>
  <c r="Z15" i="44"/>
  <c r="Z21" i="31"/>
  <c r="X25" i="31"/>
  <c r="X29" i="31"/>
  <c r="X33" i="31"/>
  <c r="X34" i="31"/>
  <c r="Z13" i="32"/>
  <c r="Z16" i="32"/>
  <c r="Z20" i="32"/>
  <c r="X22" i="32"/>
  <c r="X24" i="32"/>
  <c r="H18" i="34"/>
  <c r="J15" i="34"/>
  <c r="N12" i="34"/>
  <c r="J36" i="34"/>
  <c r="J34" i="34"/>
  <c r="J33" i="34"/>
  <c r="J31" i="34"/>
  <c r="J29" i="34"/>
  <c r="J27" i="34"/>
  <c r="J25" i="34"/>
  <c r="J21" i="34"/>
  <c r="J24" i="34"/>
  <c r="J22" i="34"/>
  <c r="J20" i="34"/>
  <c r="J18" i="34"/>
  <c r="J16" i="34"/>
  <c r="X13" i="34"/>
  <c r="Z15" i="34"/>
  <c r="X21" i="34"/>
  <c r="F20" i="35"/>
  <c r="F18" i="35"/>
  <c r="F16" i="35"/>
  <c r="D18" i="35"/>
  <c r="F15" i="35"/>
  <c r="L12" i="35"/>
  <c r="F24" i="35"/>
  <c r="F22" i="35"/>
  <c r="F27" i="35"/>
  <c r="F36" i="35"/>
  <c r="F25" i="35"/>
  <c r="F34" i="35"/>
  <c r="F33" i="35"/>
  <c r="F31" i="35"/>
  <c r="F29" i="35"/>
  <c r="F21" i="35"/>
  <c r="X16" i="35"/>
  <c r="X20" i="35"/>
  <c r="Z12" i="37"/>
  <c r="V36" i="37"/>
  <c r="V34" i="37"/>
  <c r="V33" i="37"/>
  <c r="V31" i="37"/>
  <c r="V29" i="37"/>
  <c r="V27" i="37"/>
  <c r="V25" i="37"/>
  <c r="V24" i="37"/>
  <c r="V22" i="37"/>
  <c r="V21" i="37"/>
  <c r="T18" i="37"/>
  <c r="V15" i="37"/>
  <c r="V20" i="37"/>
  <c r="V18" i="37"/>
  <c r="V16" i="37"/>
  <c r="L15" i="37"/>
  <c r="Z25" i="37"/>
  <c r="Z29" i="37"/>
  <c r="Z33" i="37"/>
  <c r="Z34" i="37"/>
  <c r="X12" i="38"/>
  <c r="R33" i="38"/>
  <c r="R31" i="38"/>
  <c r="R29" i="38"/>
  <c r="R27" i="38"/>
  <c r="R25" i="38"/>
  <c r="R34" i="38"/>
  <c r="R24" i="38"/>
  <c r="R22" i="38"/>
  <c r="R36" i="38"/>
  <c r="R20" i="38"/>
  <c r="R18" i="38"/>
  <c r="R16" i="38"/>
  <c r="P18" i="38"/>
  <c r="R15" i="38"/>
  <c r="R21" i="38"/>
  <c r="Z22" i="38"/>
  <c r="Z24" i="38"/>
  <c r="Z34" i="38"/>
  <c r="X21" i="40"/>
  <c r="X12" i="31"/>
  <c r="R36" i="31"/>
  <c r="R34" i="31"/>
  <c r="R33" i="31"/>
  <c r="R31" i="31"/>
  <c r="R29" i="31"/>
  <c r="R27" i="31"/>
  <c r="R25" i="31"/>
  <c r="R24" i="31"/>
  <c r="R22" i="31"/>
  <c r="R21" i="31"/>
  <c r="P18" i="31"/>
  <c r="R15" i="31"/>
  <c r="R18" i="31"/>
  <c r="R16" i="31"/>
  <c r="R20" i="31"/>
  <c r="Z22" i="31"/>
  <c r="Z24" i="31"/>
  <c r="Z21" i="32"/>
  <c r="X25" i="32"/>
  <c r="X29" i="32"/>
  <c r="X33" i="32"/>
  <c r="X34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0" i="35"/>
  <c r="J18" i="35"/>
  <c r="J16" i="35"/>
  <c r="H18" i="35"/>
  <c r="J15" i="35"/>
  <c r="J21" i="35"/>
  <c r="X13" i="35"/>
  <c r="Z15" i="35"/>
  <c r="X21" i="35"/>
  <c r="L16" i="37"/>
  <c r="L20" i="37"/>
  <c r="V36" i="38"/>
  <c r="V34" i="38"/>
  <c r="Z12" i="38"/>
  <c r="V33" i="38"/>
  <c r="V31" i="38"/>
  <c r="V29" i="38"/>
  <c r="V27" i="38"/>
  <c r="V25" i="38"/>
  <c r="V24" i="38"/>
  <c r="V22" i="38"/>
  <c r="V21" i="38"/>
  <c r="V20" i="38"/>
  <c r="V18" i="38"/>
  <c r="V16" i="38"/>
  <c r="V15" i="38"/>
  <c r="T18" i="38"/>
  <c r="L15" i="38"/>
  <c r="Z25" i="38"/>
  <c r="Z29" i="38"/>
  <c r="Z33" i="38"/>
  <c r="Z21" i="40"/>
  <c r="X34" i="40"/>
  <c r="L22" i="4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X12" i="32"/>
  <c r="P18" i="32"/>
  <c r="R15" i="32"/>
  <c r="Z22" i="32"/>
  <c r="Z24" i="32"/>
  <c r="Z21" i="34"/>
  <c r="X25" i="34"/>
  <c r="X29" i="34"/>
  <c r="X33" i="34"/>
  <c r="X34" i="34"/>
  <c r="Z13" i="35"/>
  <c r="Z16" i="35"/>
  <c r="Z20" i="35"/>
  <c r="X22" i="35"/>
  <c r="X24" i="35"/>
  <c r="N15" i="37"/>
  <c r="L21" i="37"/>
  <c r="L16" i="38"/>
  <c r="L20" i="38"/>
  <c r="L24" i="41"/>
  <c r="L16" i="31"/>
  <c r="L20" i="31"/>
  <c r="Z12" i="32"/>
  <c r="V24" i="32"/>
  <c r="V22" i="32"/>
  <c r="V21" i="32"/>
  <c r="V20" i="32"/>
  <c r="V18" i="32"/>
  <c r="V16" i="32"/>
  <c r="T18" i="32"/>
  <c r="V15" i="32"/>
  <c r="V31" i="32"/>
  <c r="V36" i="32"/>
  <c r="V29" i="32"/>
  <c r="V34" i="32"/>
  <c r="V27" i="32"/>
  <c r="V33" i="32"/>
  <c r="V25" i="32"/>
  <c r="L15" i="32"/>
  <c r="Z25" i="32"/>
  <c r="Z29" i="32"/>
  <c r="Z33" i="32"/>
  <c r="Z34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N16" i="37"/>
  <c r="N20" i="37"/>
  <c r="L22" i="37"/>
  <c r="L24" i="37"/>
  <c r="N15" i="38"/>
  <c r="L21" i="38"/>
  <c r="J24" i="40"/>
  <c r="J22" i="40"/>
  <c r="J21" i="40"/>
  <c r="H18" i="40"/>
  <c r="J15" i="40"/>
  <c r="J36" i="40"/>
  <c r="J33" i="40"/>
  <c r="J29" i="40"/>
  <c r="J25" i="40"/>
  <c r="J20" i="40"/>
  <c r="J16" i="40"/>
  <c r="J34" i="40"/>
  <c r="J31" i="40"/>
  <c r="J27" i="40"/>
  <c r="J18" i="40"/>
  <c r="N12" i="40"/>
  <c r="F36" i="41"/>
  <c r="F34" i="41"/>
  <c r="F33" i="41"/>
  <c r="F31" i="41"/>
  <c r="F29" i="41"/>
  <c r="F27" i="41"/>
  <c r="F25" i="41"/>
  <c r="F24" i="41"/>
  <c r="F22" i="41"/>
  <c r="F20" i="41"/>
  <c r="F18" i="41"/>
  <c r="F16" i="41"/>
  <c r="D18" i="41"/>
  <c r="F15" i="41"/>
  <c r="F21" i="41"/>
  <c r="L12" i="41"/>
  <c r="N25" i="41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L13" i="37"/>
  <c r="N21" i="37"/>
  <c r="L25" i="37"/>
  <c r="L29" i="37"/>
  <c r="L33" i="37"/>
  <c r="L34" i="37"/>
  <c r="N16" i="38"/>
  <c r="N20" i="38"/>
  <c r="L22" i="38"/>
  <c r="L24" i="38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L12" i="43"/>
  <c r="N16" i="31"/>
  <c r="N20" i="31"/>
  <c r="L22" i="31"/>
  <c r="L24" i="31"/>
  <c r="N15" i="32"/>
  <c r="L21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N13" i="37"/>
  <c r="N22" i="37"/>
  <c r="N24" i="37"/>
  <c r="L13" i="38"/>
  <c r="N21" i="38"/>
  <c r="L25" i="38"/>
  <c r="L29" i="38"/>
  <c r="L33" i="38"/>
  <c r="L34" i="38"/>
  <c r="X13" i="40"/>
  <c r="L13" i="31"/>
  <c r="N21" i="31"/>
  <c r="L25" i="31"/>
  <c r="L29" i="31"/>
  <c r="L33" i="31"/>
  <c r="L34" i="31"/>
  <c r="N16" i="32"/>
  <c r="N20" i="32"/>
  <c r="L22" i="32"/>
  <c r="L24" i="32"/>
  <c r="N15" i="34"/>
  <c r="L21" i="34"/>
  <c r="L16" i="35"/>
  <c r="L20" i="35"/>
  <c r="X15" i="37"/>
  <c r="N25" i="37"/>
  <c r="N29" i="37"/>
  <c r="N33" i="37"/>
  <c r="N34" i="37"/>
  <c r="N13" i="38"/>
  <c r="N22" i="38"/>
  <c r="N24" i="38"/>
  <c r="Z15" i="40"/>
  <c r="N13" i="31"/>
  <c r="N22" i="31"/>
  <c r="N24" i="31"/>
  <c r="L13" i="32"/>
  <c r="N21" i="32"/>
  <c r="L25" i="32"/>
  <c r="L29" i="32"/>
  <c r="L33" i="32"/>
  <c r="L34" i="32"/>
  <c r="N16" i="34"/>
  <c r="N20" i="34"/>
  <c r="L22" i="34"/>
  <c r="L24" i="34"/>
  <c r="N15" i="35"/>
  <c r="L21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N25" i="38"/>
  <c r="N29" i="38"/>
  <c r="N33" i="38"/>
  <c r="N34" i="38"/>
  <c r="Z29" i="41"/>
  <c r="N21" i="40"/>
  <c r="L34" i="40"/>
  <c r="N29" i="41"/>
  <c r="X20" i="43"/>
  <c r="F36" i="40"/>
  <c r="F34" i="40"/>
  <c r="F33" i="40"/>
  <c r="F31" i="40"/>
  <c r="F29" i="40"/>
  <c r="F27" i="40"/>
  <c r="F25" i="40"/>
  <c r="F21" i="40"/>
  <c r="F20" i="40"/>
  <c r="F18" i="40"/>
  <c r="F16" i="40"/>
  <c r="L12" i="40"/>
  <c r="D18" i="40"/>
  <c r="F15" i="40"/>
  <c r="F22" i="40"/>
  <c r="F24" i="40"/>
  <c r="X15" i="41"/>
  <c r="Z33" i="41"/>
  <c r="Z20" i="43"/>
  <c r="X13" i="44"/>
  <c r="Z25" i="47"/>
  <c r="L25" i="50"/>
  <c r="R21" i="40"/>
  <c r="R36" i="40"/>
  <c r="R33" i="40"/>
  <c r="R29" i="40"/>
  <c r="R25" i="40"/>
  <c r="R22" i="40"/>
  <c r="X12" i="40"/>
  <c r="R34" i="40"/>
  <c r="R31" i="40"/>
  <c r="R27" i="40"/>
  <c r="P18" i="40"/>
  <c r="R15" i="40"/>
  <c r="R24" i="40"/>
  <c r="R20" i="40"/>
  <c r="R18" i="40"/>
  <c r="R16" i="40"/>
  <c r="Z24" i="40"/>
  <c r="N25" i="44"/>
  <c r="N33" i="46"/>
  <c r="L16" i="40"/>
  <c r="L20" i="40"/>
  <c r="Z12" i="41"/>
  <c r="V36" i="41"/>
  <c r="V34" i="41"/>
  <c r="V33" i="41"/>
  <c r="V31" i="41"/>
  <c r="V29" i="41"/>
  <c r="V27" i="41"/>
  <c r="V25" i="41"/>
  <c r="V21" i="41"/>
  <c r="V20" i="41"/>
  <c r="V18" i="41"/>
  <c r="V16" i="41"/>
  <c r="V22" i="41"/>
  <c r="V24" i="41"/>
  <c r="V15" i="41"/>
  <c r="T18" i="41"/>
  <c r="N20" i="41"/>
  <c r="Z25" i="41"/>
  <c r="Z13" i="43"/>
  <c r="X22" i="43"/>
  <c r="L13" i="40"/>
  <c r="L25" i="40"/>
  <c r="L29" i="40"/>
  <c r="L33" i="40"/>
  <c r="N16" i="41"/>
  <c r="X22" i="41"/>
  <c r="Z34" i="41"/>
  <c r="L20" i="49"/>
  <c r="X16" i="40"/>
  <c r="X20" i="40"/>
  <c r="X20" i="41"/>
  <c r="X24" i="43"/>
  <c r="V21" i="47"/>
  <c r="V20" i="47"/>
  <c r="V18" i="47"/>
  <c r="V16" i="47"/>
  <c r="T18" i="47"/>
  <c r="V15" i="47"/>
  <c r="V36" i="47"/>
  <c r="V34" i="47"/>
  <c r="V33" i="47"/>
  <c r="V31" i="47"/>
  <c r="V29" i="47"/>
  <c r="V27" i="47"/>
  <c r="V25" i="47"/>
  <c r="V24" i="47"/>
  <c r="V22" i="47"/>
  <c r="Z12" i="47"/>
  <c r="X16" i="43"/>
  <c r="N29" i="44"/>
  <c r="X34" i="38"/>
  <c r="X25" i="40"/>
  <c r="X29" i="40"/>
  <c r="X33" i="40"/>
  <c r="Z13" i="41"/>
  <c r="Z16" i="41"/>
  <c r="Z16" i="43"/>
  <c r="Z22" i="40"/>
  <c r="N33" i="41"/>
  <c r="V36" i="50"/>
  <c r="V34" i="50"/>
  <c r="V33" i="50"/>
  <c r="V31" i="50"/>
  <c r="V29" i="50"/>
  <c r="V27" i="50"/>
  <c r="V25" i="50"/>
  <c r="T18" i="50"/>
  <c r="V15" i="50"/>
  <c r="V20" i="50"/>
  <c r="V21" i="50"/>
  <c r="V22" i="50"/>
  <c r="Z12" i="50"/>
  <c r="V18" i="50"/>
  <c r="V16" i="50"/>
  <c r="V24" i="50"/>
  <c r="L15" i="41"/>
  <c r="X24" i="41"/>
  <c r="J21" i="44"/>
  <c r="J34" i="44"/>
  <c r="J20" i="44"/>
  <c r="J18" i="44"/>
  <c r="J16" i="44"/>
  <c r="H18" i="44"/>
  <c r="J15" i="44"/>
  <c r="J36" i="44"/>
  <c r="N12" i="44"/>
  <c r="J31" i="44"/>
  <c r="J29" i="44"/>
  <c r="J27" i="44"/>
  <c r="J25" i="44"/>
  <c r="J33" i="44"/>
  <c r="J22" i="44"/>
  <c r="J24" i="44"/>
  <c r="X21" i="44"/>
  <c r="L20" i="46"/>
  <c r="L15" i="50"/>
  <c r="Z13" i="40"/>
  <c r="Z16" i="40"/>
  <c r="Z20" i="40"/>
  <c r="X22" i="40"/>
  <c r="X24" i="40"/>
  <c r="J21" i="41"/>
  <c r="J20" i="41"/>
  <c r="J18" i="41"/>
  <c r="J16" i="41"/>
  <c r="J33" i="41"/>
  <c r="J24" i="41"/>
  <c r="J31" i="41"/>
  <c r="J34" i="41"/>
  <c r="J22" i="41"/>
  <c r="N12" i="41"/>
  <c r="J29" i="41"/>
  <c r="H18" i="41"/>
  <c r="J15" i="41"/>
  <c r="J27" i="41"/>
  <c r="J25" i="41"/>
  <c r="J36" i="41"/>
  <c r="X13" i="41"/>
  <c r="Z15" i="41"/>
  <c r="X21" i="41"/>
  <c r="J24" i="43"/>
  <c r="J22" i="43"/>
  <c r="J21" i="43"/>
  <c r="J20" i="43"/>
  <c r="J18" i="43"/>
  <c r="J16" i="43"/>
  <c r="H18" i="43"/>
  <c r="J15" i="43"/>
  <c r="N12" i="43"/>
  <c r="J27" i="43"/>
  <c r="J36" i="43"/>
  <c r="J25" i="43"/>
  <c r="J34" i="43"/>
  <c r="J33" i="43"/>
  <c r="J29" i="43"/>
  <c r="J31" i="43"/>
  <c r="X13" i="43"/>
  <c r="Z15" i="43"/>
  <c r="X21" i="43"/>
  <c r="F31" i="44"/>
  <c r="F29" i="44"/>
  <c r="F27" i="44"/>
  <c r="F25" i="44"/>
  <c r="F33" i="44"/>
  <c r="F24" i="44"/>
  <c r="F22" i="44"/>
  <c r="F21" i="44"/>
  <c r="F34" i="44"/>
  <c r="F20" i="44"/>
  <c r="F18" i="44"/>
  <c r="F16" i="44"/>
  <c r="D18" i="44"/>
  <c r="F15" i="44"/>
  <c r="F36" i="44"/>
  <c r="L12" i="44"/>
  <c r="X16" i="44"/>
  <c r="X20" i="44"/>
  <c r="X34" i="44"/>
  <c r="Z13" i="46"/>
  <c r="X22" i="46"/>
  <c r="N12" i="47"/>
  <c r="J36" i="47"/>
  <c r="J34" i="47"/>
  <c r="J33" i="47"/>
  <c r="J31" i="47"/>
  <c r="J29" i="47"/>
  <c r="J27" i="47"/>
  <c r="J25" i="47"/>
  <c r="J24" i="47"/>
  <c r="J22" i="47"/>
  <c r="J20" i="47"/>
  <c r="J18" i="47"/>
  <c r="J16" i="47"/>
  <c r="H18" i="47"/>
  <c r="J15" i="47"/>
  <c r="J21" i="47"/>
  <c r="X21" i="47"/>
  <c r="Z21" i="41"/>
  <c r="X25" i="41"/>
  <c r="X29" i="41"/>
  <c r="X33" i="41"/>
  <c r="X34" i="41"/>
  <c r="Z21" i="43"/>
  <c r="X25" i="43"/>
  <c r="X29" i="43"/>
  <c r="X33" i="43"/>
  <c r="X34" i="43"/>
  <c r="Z13" i="44"/>
  <c r="Z16" i="44"/>
  <c r="Z20" i="44"/>
  <c r="X22" i="44"/>
  <c r="X24" i="44"/>
  <c r="X33" i="44"/>
  <c r="Z34" i="44"/>
  <c r="N20" i="46"/>
  <c r="L24" i="46"/>
  <c r="R24" i="49"/>
  <c r="R22" i="49"/>
  <c r="R21" i="49"/>
  <c r="R20" i="49"/>
  <c r="R18" i="49"/>
  <c r="R16" i="49"/>
  <c r="P18" i="49"/>
  <c r="R15" i="49"/>
  <c r="R27" i="49"/>
  <c r="R36" i="49"/>
  <c r="R25" i="49"/>
  <c r="R34" i="49"/>
  <c r="R33" i="49"/>
  <c r="X12" i="49"/>
  <c r="R31" i="49"/>
  <c r="R29" i="49"/>
  <c r="Z12" i="40"/>
  <c r="V24" i="40"/>
  <c r="V22" i="40"/>
  <c r="T18" i="40"/>
  <c r="V15" i="40"/>
  <c r="V36" i="40"/>
  <c r="V33" i="40"/>
  <c r="V29" i="40"/>
  <c r="V25" i="40"/>
  <c r="V20" i="40"/>
  <c r="V16" i="40"/>
  <c r="V34" i="40"/>
  <c r="V31" i="40"/>
  <c r="V27" i="40"/>
  <c r="V21" i="40"/>
  <c r="V18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0" i="41"/>
  <c r="R18" i="41"/>
  <c r="R16" i="41"/>
  <c r="R21" i="41"/>
  <c r="R15" i="41"/>
  <c r="P18" i="41"/>
  <c r="Z22" i="41"/>
  <c r="Z24" i="41"/>
  <c r="X12" i="43"/>
  <c r="R36" i="43"/>
  <c r="R34" i="43"/>
  <c r="R33" i="43"/>
  <c r="R31" i="43"/>
  <c r="R29" i="43"/>
  <c r="R27" i="43"/>
  <c r="R25" i="43"/>
  <c r="R24" i="43"/>
  <c r="R22" i="43"/>
  <c r="R20" i="43"/>
  <c r="R18" i="43"/>
  <c r="R16" i="43"/>
  <c r="P18" i="43"/>
  <c r="R15" i="43"/>
  <c r="R21" i="43"/>
  <c r="Z22" i="43"/>
  <c r="Z24" i="43"/>
  <c r="Z21" i="44"/>
  <c r="X25" i="44"/>
  <c r="X29" i="44"/>
  <c r="X15" i="46"/>
  <c r="N29" i="46"/>
  <c r="N34" i="46"/>
  <c r="N13" i="47"/>
  <c r="N22" i="47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1" i="44"/>
  <c r="R29" i="44"/>
  <c r="R27" i="44"/>
  <c r="R25" i="44"/>
  <c r="R33" i="44"/>
  <c r="R24" i="44"/>
  <c r="R22" i="44"/>
  <c r="R21" i="44"/>
  <c r="P18" i="44"/>
  <c r="R15" i="44"/>
  <c r="R20" i="44"/>
  <c r="R18" i="44"/>
  <c r="R16" i="44"/>
  <c r="R36" i="44"/>
  <c r="R34" i="44"/>
  <c r="Z22" i="44"/>
  <c r="Z24" i="44"/>
  <c r="Z33" i="44"/>
  <c r="Z20" i="46"/>
  <c r="X24" i="46"/>
  <c r="X13" i="47"/>
  <c r="Z22" i="49"/>
  <c r="L13" i="52"/>
  <c r="N15" i="40"/>
  <c r="L21" i="40"/>
  <c r="L16" i="41"/>
  <c r="L20" i="41"/>
  <c r="L16" i="43"/>
  <c r="L20" i="43"/>
  <c r="V36" i="44"/>
  <c r="V34" i="44"/>
  <c r="V33" i="44"/>
  <c r="V31" i="44"/>
  <c r="Z12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L16" i="46"/>
  <c r="L15" i="47"/>
  <c r="Z33" i="47"/>
  <c r="N16" i="40"/>
  <c r="N20" i="40"/>
  <c r="L22" i="40"/>
  <c r="L24" i="40"/>
  <c r="N15" i="41"/>
  <c r="L21" i="41"/>
  <c r="N15" i="43"/>
  <c r="L21" i="43"/>
  <c r="L16" i="44"/>
  <c r="L20" i="44"/>
  <c r="L34" i="44"/>
  <c r="N16" i="46"/>
  <c r="N15" i="47"/>
  <c r="Z24" i="49"/>
  <c r="N16" i="43"/>
  <c r="N20" i="43"/>
  <c r="L22" i="43"/>
  <c r="L24" i="43"/>
  <c r="N15" i="44"/>
  <c r="L21" i="44"/>
  <c r="N25" i="46"/>
  <c r="N24" i="47"/>
  <c r="L16" i="49"/>
  <c r="X34" i="50"/>
  <c r="N13" i="40"/>
  <c r="N22" i="40"/>
  <c r="N24" i="40"/>
  <c r="L13" i="41"/>
  <c r="N21" i="41"/>
  <c r="L25" i="41"/>
  <c r="L29" i="41"/>
  <c r="L33" i="41"/>
  <c r="L34" i="41"/>
  <c r="L13" i="43"/>
  <c r="N21" i="43"/>
  <c r="L25" i="43"/>
  <c r="L29" i="43"/>
  <c r="L33" i="43"/>
  <c r="L34" i="43"/>
  <c r="N16" i="44"/>
  <c r="N20" i="44"/>
  <c r="L22" i="44"/>
  <c r="L24" i="44"/>
  <c r="L33" i="44"/>
  <c r="N34" i="44"/>
  <c r="Z16" i="46"/>
  <c r="Z15" i="47"/>
  <c r="L33" i="52"/>
  <c r="X15" i="40"/>
  <c r="N25" i="40"/>
  <c r="N29" i="40"/>
  <c r="N33" i="40"/>
  <c r="N34" i="40"/>
  <c r="N13" i="41"/>
  <c r="N22" i="41"/>
  <c r="N24" i="41"/>
  <c r="N13" i="43"/>
  <c r="N22" i="43"/>
  <c r="N24" i="43"/>
  <c r="L13" i="44"/>
  <c r="N21" i="44"/>
  <c r="L25" i="44"/>
  <c r="L29" i="44"/>
  <c r="Z29" i="47"/>
  <c r="Z34" i="47"/>
  <c r="L34" i="52"/>
  <c r="X15" i="43"/>
  <c r="N25" i="43"/>
  <c r="N29" i="43"/>
  <c r="N33" i="43"/>
  <c r="N34" i="43"/>
  <c r="N13" i="44"/>
  <c r="N22" i="44"/>
  <c r="N24" i="44"/>
  <c r="N33" i="44"/>
  <c r="L22" i="46"/>
  <c r="L21" i="47"/>
  <c r="N16" i="53"/>
  <c r="N15" i="46"/>
  <c r="L21" i="46"/>
  <c r="L16" i="47"/>
  <c r="L20" i="47"/>
  <c r="V20" i="49"/>
  <c r="V18" i="49"/>
  <c r="V16" i="49"/>
  <c r="T18" i="49"/>
  <c r="V15" i="49"/>
  <c r="Z12" i="49"/>
  <c r="V24" i="49"/>
  <c r="V22" i="49"/>
  <c r="V36" i="49"/>
  <c r="V25" i="49"/>
  <c r="V34" i="49"/>
  <c r="V33" i="49"/>
  <c r="V31" i="49"/>
  <c r="V21" i="49"/>
  <c r="V29" i="49"/>
  <c r="V27" i="49"/>
  <c r="L15" i="49"/>
  <c r="Z25" i="49"/>
  <c r="Z29" i="49"/>
  <c r="Z33" i="49"/>
  <c r="Z34" i="49"/>
  <c r="R36" i="50"/>
  <c r="R34" i="50"/>
  <c r="R33" i="50"/>
  <c r="R31" i="50"/>
  <c r="R29" i="50"/>
  <c r="R20" i="50"/>
  <c r="R24" i="50"/>
  <c r="R18" i="50"/>
  <c r="R16" i="50"/>
  <c r="P18" i="50"/>
  <c r="R15" i="50"/>
  <c r="R25" i="50"/>
  <c r="R21" i="50"/>
  <c r="X12" i="50"/>
  <c r="R27" i="50"/>
  <c r="R22" i="50"/>
  <c r="N21" i="50"/>
  <c r="X22" i="50"/>
  <c r="N15" i="52"/>
  <c r="L13" i="46"/>
  <c r="N21" i="46"/>
  <c r="L25" i="46"/>
  <c r="L29" i="46"/>
  <c r="L33" i="46"/>
  <c r="L34" i="46"/>
  <c r="N16" i="47"/>
  <c r="N20" i="47"/>
  <c r="L22" i="47"/>
  <c r="L24" i="47"/>
  <c r="N15" i="49"/>
  <c r="L21" i="49"/>
  <c r="L16" i="50"/>
  <c r="N20" i="50"/>
  <c r="Z22" i="50"/>
  <c r="Z34" i="50"/>
  <c r="L20" i="53"/>
  <c r="N13" i="46"/>
  <c r="N22" i="46"/>
  <c r="N24" i="46"/>
  <c r="L13" i="47"/>
  <c r="N21" i="47"/>
  <c r="L25" i="47"/>
  <c r="L29" i="47"/>
  <c r="L33" i="47"/>
  <c r="L34" i="47"/>
  <c r="N16" i="49"/>
  <c r="N20" i="49"/>
  <c r="L22" i="49"/>
  <c r="L24" i="49"/>
  <c r="N15" i="50"/>
  <c r="L25" i="52"/>
  <c r="N20" i="53"/>
  <c r="L13" i="49"/>
  <c r="N21" i="49"/>
  <c r="L25" i="49"/>
  <c r="L29" i="49"/>
  <c r="L33" i="49"/>
  <c r="L34" i="49"/>
  <c r="N16" i="50"/>
  <c r="L24" i="50"/>
  <c r="L29" i="50"/>
  <c r="L33" i="50"/>
  <c r="F36" i="46"/>
  <c r="F34" i="46"/>
  <c r="F33" i="46"/>
  <c r="F31" i="46"/>
  <c r="F29" i="46"/>
  <c r="F27" i="46"/>
  <c r="F25" i="46"/>
  <c r="F24" i="46"/>
  <c r="F22" i="46"/>
  <c r="F20" i="46"/>
  <c r="F18" i="46"/>
  <c r="F16" i="46"/>
  <c r="D18" i="46"/>
  <c r="L12" i="46"/>
  <c r="F21" i="46"/>
  <c r="F15" i="46"/>
  <c r="X16" i="46"/>
  <c r="X20" i="46"/>
  <c r="X15" i="47"/>
  <c r="N25" i="47"/>
  <c r="N29" i="47"/>
  <c r="N33" i="47"/>
  <c r="N34" i="47"/>
  <c r="N13" i="49"/>
  <c r="N22" i="49"/>
  <c r="N24" i="49"/>
  <c r="L13" i="50"/>
  <c r="Z21" i="50"/>
  <c r="X25" i="50"/>
  <c r="N12" i="46"/>
  <c r="J36" i="46"/>
  <c r="J34" i="46"/>
  <c r="J33" i="46"/>
  <c r="J31" i="46"/>
  <c r="J29" i="46"/>
  <c r="J27" i="46"/>
  <c r="J25" i="46"/>
  <c r="J21" i="46"/>
  <c r="J20" i="46"/>
  <c r="J18" i="46"/>
  <c r="J16" i="46"/>
  <c r="H18" i="46"/>
  <c r="J24" i="46"/>
  <c r="J15" i="46"/>
  <c r="J22" i="46"/>
  <c r="X13" i="46"/>
  <c r="Z15" i="46"/>
  <c r="X21" i="46"/>
  <c r="L12" i="47"/>
  <c r="F24" i="47"/>
  <c r="F22" i="47"/>
  <c r="F21" i="47"/>
  <c r="D18" i="47"/>
  <c r="F15" i="47"/>
  <c r="F16" i="47"/>
  <c r="F34" i="47"/>
  <c r="F29" i="47"/>
  <c r="F20" i="47"/>
  <c r="F33" i="47"/>
  <c r="F27" i="47"/>
  <c r="F18" i="47"/>
  <c r="F36" i="47"/>
  <c r="F25" i="47"/>
  <c r="F31" i="47"/>
  <c r="X16" i="47"/>
  <c r="X20" i="47"/>
  <c r="X15" i="49"/>
  <c r="N25" i="49"/>
  <c r="N29" i="49"/>
  <c r="N33" i="49"/>
  <c r="N34" i="49"/>
  <c r="N13" i="50"/>
  <c r="X20" i="50"/>
  <c r="N24" i="50"/>
  <c r="L12" i="49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X16" i="49"/>
  <c r="X20" i="49"/>
  <c r="X15" i="50"/>
  <c r="Z20" i="50"/>
  <c r="Z25" i="50"/>
  <c r="X29" i="50"/>
  <c r="X33" i="50"/>
  <c r="L29" i="52"/>
  <c r="L22" i="53"/>
  <c r="Z21" i="46"/>
  <c r="X25" i="46"/>
  <c r="X29" i="46"/>
  <c r="X33" i="46"/>
  <c r="X34" i="46"/>
  <c r="Z13" i="47"/>
  <c r="Z16" i="47"/>
  <c r="Z20" i="47"/>
  <c r="X22" i="47"/>
  <c r="X24" i="47"/>
  <c r="N12" i="49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X13" i="49"/>
  <c r="Z15" i="49"/>
  <c r="X21" i="49"/>
  <c r="F36" i="50"/>
  <c r="F34" i="50"/>
  <c r="F33" i="50"/>
  <c r="F31" i="50"/>
  <c r="F29" i="50"/>
  <c r="F27" i="50"/>
  <c r="F20" i="50"/>
  <c r="L12" i="50"/>
  <c r="F22" i="50"/>
  <c r="F24" i="50"/>
  <c r="F18" i="50"/>
  <c r="F16" i="50"/>
  <c r="F25" i="50"/>
  <c r="D18" i="50"/>
  <c r="F15" i="50"/>
  <c r="F21" i="50"/>
  <c r="X16" i="50"/>
  <c r="L22" i="50"/>
  <c r="X24" i="50"/>
  <c r="Z29" i="50"/>
  <c r="Z33" i="50"/>
  <c r="L21" i="52"/>
  <c r="R36" i="46"/>
  <c r="R34" i="46"/>
  <c r="R33" i="46"/>
  <c r="R31" i="46"/>
  <c r="R29" i="46"/>
  <c r="R27" i="46"/>
  <c r="R25" i="46"/>
  <c r="R24" i="46"/>
  <c r="R22" i="46"/>
  <c r="R20" i="46"/>
  <c r="R18" i="46"/>
  <c r="R16" i="46"/>
  <c r="P18" i="46"/>
  <c r="R15" i="46"/>
  <c r="X12" i="46"/>
  <c r="R21" i="46"/>
  <c r="Z22" i="46"/>
  <c r="Z24" i="46"/>
  <c r="Z21" i="47"/>
  <c r="X25" i="47"/>
  <c r="X29" i="47"/>
  <c r="X33" i="47"/>
  <c r="X34" i="47"/>
  <c r="Z13" i="49"/>
  <c r="Z16" i="49"/>
  <c r="Z20" i="49"/>
  <c r="X22" i="49"/>
  <c r="X24" i="49"/>
  <c r="J24" i="50"/>
  <c r="J22" i="50"/>
  <c r="J27" i="50"/>
  <c r="J36" i="50"/>
  <c r="J33" i="50"/>
  <c r="J29" i="50"/>
  <c r="J18" i="50"/>
  <c r="J16" i="50"/>
  <c r="H18" i="50"/>
  <c r="J15" i="50"/>
  <c r="J25" i="50"/>
  <c r="J20" i="50"/>
  <c r="N12" i="50"/>
  <c r="J21" i="50"/>
  <c r="J34" i="50"/>
  <c r="J31" i="50"/>
  <c r="X13" i="50"/>
  <c r="Z15" i="50"/>
  <c r="N21" i="52"/>
  <c r="L24" i="53"/>
  <c r="V24" i="46"/>
  <c r="V22" i="46"/>
  <c r="V21" i="46"/>
  <c r="V20" i="46"/>
  <c r="V18" i="46"/>
  <c r="V16" i="46"/>
  <c r="Z12" i="46"/>
  <c r="V36" i="46"/>
  <c r="V31" i="46"/>
  <c r="V25" i="46"/>
  <c r="V34" i="46"/>
  <c r="V29" i="46"/>
  <c r="V15" i="46"/>
  <c r="T18" i="46"/>
  <c r="V33" i="46"/>
  <c r="V27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P18" i="47"/>
  <c r="R15" i="47"/>
  <c r="X12" i="47"/>
  <c r="R20" i="47"/>
  <c r="R18" i="47"/>
  <c r="R16" i="47"/>
  <c r="Z22" i="47"/>
  <c r="Z24" i="47"/>
  <c r="Z21" i="49"/>
  <c r="X25" i="49"/>
  <c r="X29" i="49"/>
  <c r="X33" i="49"/>
  <c r="X34" i="49"/>
  <c r="Z13" i="50"/>
  <c r="Z16" i="50"/>
  <c r="N22" i="50"/>
  <c r="Z24" i="50"/>
  <c r="L34" i="50"/>
  <c r="L16" i="53"/>
  <c r="X21" i="50"/>
  <c r="N16" i="52"/>
  <c r="N20" i="52"/>
  <c r="L22" i="52"/>
  <c r="L24" i="52"/>
  <c r="N15" i="53"/>
  <c r="L21" i="53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D18" i="52"/>
  <c r="F15" i="52"/>
  <c r="L12" i="52"/>
  <c r="F36" i="52"/>
  <c r="F34" i="52"/>
  <c r="F33" i="52"/>
  <c r="F31" i="52"/>
  <c r="F29" i="52"/>
  <c r="F27" i="52"/>
  <c r="F25" i="52"/>
  <c r="F21" i="52"/>
  <c r="F20" i="52"/>
  <c r="F18" i="52"/>
  <c r="F16" i="52"/>
  <c r="F24" i="52"/>
  <c r="F22" i="52"/>
  <c r="X16" i="52"/>
  <c r="X20" i="52"/>
  <c r="X15" i="53"/>
  <c r="N25" i="53"/>
  <c r="N29" i="53"/>
  <c r="N33" i="53"/>
  <c r="N34" i="53"/>
  <c r="L20" i="50"/>
  <c r="N12" i="52"/>
  <c r="J36" i="52"/>
  <c r="J34" i="52"/>
  <c r="J33" i="52"/>
  <c r="J31" i="52"/>
  <c r="J29" i="52"/>
  <c r="J27" i="52"/>
  <c r="J25" i="52"/>
  <c r="J24" i="52"/>
  <c r="J22" i="52"/>
  <c r="J21" i="52"/>
  <c r="H18" i="52"/>
  <c r="J15" i="52"/>
  <c r="J20" i="52"/>
  <c r="J18" i="52"/>
  <c r="J16" i="52"/>
  <c r="X13" i="52"/>
  <c r="Z15" i="52"/>
  <c r="X21" i="52"/>
  <c r="L12" i="53"/>
  <c r="F36" i="53"/>
  <c r="F34" i="53"/>
  <c r="F33" i="53"/>
  <c r="F31" i="53"/>
  <c r="F29" i="53"/>
  <c r="F27" i="53"/>
  <c r="F25" i="53"/>
  <c r="F24" i="53"/>
  <c r="F22" i="53"/>
  <c r="F20" i="53"/>
  <c r="F18" i="53"/>
  <c r="F16" i="53"/>
  <c r="F15" i="53"/>
  <c r="F21" i="53"/>
  <c r="D18" i="53"/>
  <c r="X16" i="53"/>
  <c r="X20" i="53"/>
  <c r="L21" i="50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J15" i="53"/>
  <c r="H18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Z12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X12" i="53"/>
  <c r="Z22" i="53"/>
  <c r="Z24" i="53"/>
  <c r="N25" i="50"/>
  <c r="N29" i="50"/>
  <c r="N33" i="50"/>
  <c r="N34" i="50"/>
  <c r="L16" i="52"/>
  <c r="L20" i="52"/>
  <c r="V24" i="53"/>
  <c r="V22" i="53"/>
  <c r="V21" i="53"/>
  <c r="V20" i="53"/>
  <c r="V18" i="53"/>
  <c r="V16" i="53"/>
  <c r="T18" i="53"/>
  <c r="V15" i="53"/>
  <c r="Z12" i="53"/>
  <c r="V34" i="53"/>
  <c r="V33" i="53"/>
  <c r="V31" i="53"/>
  <c r="V29" i="53"/>
  <c r="V27" i="53"/>
  <c r="V36" i="53"/>
  <c r="V25" i="53"/>
  <c r="L15" i="53"/>
  <c r="Z25" i="53"/>
  <c r="Z29" i="53"/>
  <c r="Z33" i="53"/>
  <c r="Z34" i="53"/>
  <c r="Z25" i="99"/>
  <c r="T18" i="98"/>
  <c r="V15" i="98"/>
  <c r="V36" i="98"/>
  <c r="V34" i="98"/>
  <c r="V33" i="98"/>
  <c r="V31" i="98"/>
  <c r="V29" i="98"/>
  <c r="V27" i="98"/>
  <c r="V25" i="98"/>
  <c r="V21" i="98"/>
  <c r="V24" i="98"/>
  <c r="V20" i="98"/>
  <c r="V22" i="98"/>
  <c r="V16" i="98"/>
  <c r="Z12" i="98"/>
  <c r="V18" i="98"/>
  <c r="X13" i="100"/>
  <c r="N29" i="100"/>
  <c r="Z21" i="98"/>
  <c r="X29" i="99"/>
  <c r="X15" i="100"/>
  <c r="X33" i="98"/>
  <c r="Z29" i="99"/>
  <c r="X21" i="99"/>
  <c r="X29" i="100"/>
  <c r="X25" i="98"/>
  <c r="X34" i="99"/>
  <c r="N33" i="100"/>
  <c r="N15" i="98"/>
  <c r="Z25" i="98"/>
  <c r="J36" i="99"/>
  <c r="J34" i="99"/>
  <c r="J33" i="99"/>
  <c r="J31" i="99"/>
  <c r="J29" i="99"/>
  <c r="J27" i="99"/>
  <c r="J25" i="99"/>
  <c r="J24" i="99"/>
  <c r="J22" i="99"/>
  <c r="J21" i="99"/>
  <c r="J20" i="99"/>
  <c r="J18" i="99"/>
  <c r="J16" i="99"/>
  <c r="H18" i="99"/>
  <c r="J15" i="99"/>
  <c r="N12" i="99"/>
  <c r="Z34" i="99"/>
  <c r="Z12" i="99"/>
  <c r="V21" i="99"/>
  <c r="T18" i="99"/>
  <c r="V15" i="99"/>
  <c r="V33" i="99"/>
  <c r="V27" i="99"/>
  <c r="V22" i="99"/>
  <c r="V18" i="99"/>
  <c r="V36" i="99"/>
  <c r="V31" i="99"/>
  <c r="V25" i="99"/>
  <c r="V16" i="99"/>
  <c r="V34" i="99"/>
  <c r="V29" i="99"/>
  <c r="V24" i="99"/>
  <c r="V20" i="99"/>
  <c r="X33" i="100"/>
  <c r="Z15" i="99"/>
  <c r="N34" i="100"/>
  <c r="X34" i="100"/>
  <c r="L22" i="98"/>
  <c r="L16" i="99"/>
  <c r="Z22" i="100"/>
  <c r="L15" i="98"/>
  <c r="Z33" i="98"/>
  <c r="Z21" i="99"/>
  <c r="X25" i="99"/>
  <c r="Z15" i="100"/>
  <c r="N20" i="98"/>
  <c r="L24" i="98"/>
  <c r="Z24" i="100"/>
  <c r="X29" i="98"/>
  <c r="X34" i="98"/>
  <c r="X13" i="99"/>
  <c r="N25" i="100"/>
  <c r="Z29" i="98"/>
  <c r="Z34" i="98"/>
  <c r="X33" i="99"/>
  <c r="J21" i="100"/>
  <c r="J20" i="100"/>
  <c r="J18" i="100"/>
  <c r="J16" i="100"/>
  <c r="H18" i="100"/>
  <c r="J15" i="100"/>
  <c r="J36" i="100"/>
  <c r="J34" i="100"/>
  <c r="J33" i="100"/>
  <c r="J31" i="100"/>
  <c r="J29" i="100"/>
  <c r="J27" i="100"/>
  <c r="J25" i="100"/>
  <c r="N12" i="100"/>
  <c r="J22" i="100"/>
  <c r="J24" i="100"/>
  <c r="X21" i="100"/>
  <c r="L21" i="98"/>
  <c r="L15" i="99"/>
  <c r="Z33" i="99"/>
  <c r="Z21" i="100"/>
  <c r="X25" i="100"/>
  <c r="N16" i="98"/>
  <c r="L20" i="99"/>
  <c r="X12" i="100"/>
  <c r="R21" i="100"/>
  <c r="P18" i="100"/>
  <c r="R15" i="100"/>
  <c r="R36" i="100"/>
  <c r="R31" i="100"/>
  <c r="R25" i="100"/>
  <c r="R16" i="100"/>
  <c r="R34" i="100"/>
  <c r="R29" i="100"/>
  <c r="R20" i="100"/>
  <c r="R33" i="100"/>
  <c r="R27" i="100"/>
  <c r="R22" i="100"/>
  <c r="R24" i="100"/>
  <c r="R18" i="100"/>
  <c r="R21" i="98"/>
  <c r="R20" i="98"/>
  <c r="R18" i="98"/>
  <c r="R16" i="98"/>
  <c r="P18" i="98"/>
  <c r="R15" i="98"/>
  <c r="X12" i="98"/>
  <c r="R36" i="98"/>
  <c r="R34" i="98"/>
  <c r="R33" i="98"/>
  <c r="R31" i="98"/>
  <c r="R29" i="98"/>
  <c r="R27" i="98"/>
  <c r="R25" i="98"/>
  <c r="R24" i="98"/>
  <c r="R22" i="98"/>
  <c r="Z22" i="98"/>
  <c r="Z24" i="98"/>
  <c r="Z13" i="99"/>
  <c r="Z16" i="99"/>
  <c r="Z20" i="99"/>
  <c r="X22" i="99"/>
  <c r="X24" i="99"/>
  <c r="F36" i="100"/>
  <c r="F34" i="100"/>
  <c r="F33" i="100"/>
  <c r="F31" i="100"/>
  <c r="F29" i="100"/>
  <c r="F27" i="100"/>
  <c r="F25" i="100"/>
  <c r="F24" i="100"/>
  <c r="F22" i="100"/>
  <c r="F21" i="100"/>
  <c r="F20" i="100"/>
  <c r="F18" i="100"/>
  <c r="F16" i="100"/>
  <c r="D18" i="100"/>
  <c r="F15" i="100"/>
  <c r="L12" i="100"/>
  <c r="X16" i="100"/>
  <c r="X20" i="100"/>
  <c r="L16" i="98"/>
  <c r="L20" i="98"/>
  <c r="P18" i="99"/>
  <c r="R15" i="99"/>
  <c r="R36" i="99"/>
  <c r="R34" i="99"/>
  <c r="R33" i="99"/>
  <c r="R31" i="99"/>
  <c r="R29" i="99"/>
  <c r="R27" i="99"/>
  <c r="R25" i="99"/>
  <c r="R21" i="99"/>
  <c r="R22" i="99"/>
  <c r="R18" i="99"/>
  <c r="X12" i="99"/>
  <c r="R24" i="99"/>
  <c r="R20" i="99"/>
  <c r="R16" i="99"/>
  <c r="Z22" i="99"/>
  <c r="Z24" i="99"/>
  <c r="Z13" i="100"/>
  <c r="Z16" i="100"/>
  <c r="Z20" i="100"/>
  <c r="X22" i="100"/>
  <c r="X24" i="100"/>
  <c r="L13" i="98"/>
  <c r="N21" i="98"/>
  <c r="L25" i="98"/>
  <c r="L29" i="98"/>
  <c r="L33" i="98"/>
  <c r="L34" i="98"/>
  <c r="N15" i="99"/>
  <c r="L21" i="99"/>
  <c r="Z12" i="100"/>
  <c r="V36" i="100"/>
  <c r="V34" i="100"/>
  <c r="V33" i="100"/>
  <c r="V31" i="100"/>
  <c r="V29" i="100"/>
  <c r="V27" i="100"/>
  <c r="V25" i="100"/>
  <c r="V24" i="100"/>
  <c r="V22" i="100"/>
  <c r="T18" i="100"/>
  <c r="V15" i="100"/>
  <c r="V21" i="100"/>
  <c r="V16" i="100"/>
  <c r="V20" i="100"/>
  <c r="V18" i="100"/>
  <c r="L15" i="100"/>
  <c r="Z25" i="100"/>
  <c r="Z29" i="100"/>
  <c r="Z33" i="100"/>
  <c r="Z34" i="100"/>
  <c r="N13" i="98"/>
  <c r="N22" i="98"/>
  <c r="N24" i="98"/>
  <c r="N16" i="99"/>
  <c r="N20" i="99"/>
  <c r="L22" i="99"/>
  <c r="L24" i="99"/>
  <c r="L16" i="100"/>
  <c r="L20" i="100"/>
  <c r="X15" i="98"/>
  <c r="N25" i="98"/>
  <c r="N29" i="98"/>
  <c r="N33" i="98"/>
  <c r="N34" i="98"/>
  <c r="L13" i="99"/>
  <c r="N21" i="99"/>
  <c r="L25" i="99"/>
  <c r="L29" i="99"/>
  <c r="L33" i="99"/>
  <c r="L34" i="99"/>
  <c r="N15" i="100"/>
  <c r="L21" i="100"/>
  <c r="L12" i="98"/>
  <c r="F36" i="98"/>
  <c r="F34" i="98"/>
  <c r="F33" i="98"/>
  <c r="F31" i="98"/>
  <c r="F29" i="98"/>
  <c r="F27" i="98"/>
  <c r="F25" i="98"/>
  <c r="F24" i="98"/>
  <c r="F22" i="98"/>
  <c r="D18" i="98"/>
  <c r="F15" i="98"/>
  <c r="F21" i="98"/>
  <c r="F16" i="98"/>
  <c r="F18" i="98"/>
  <c r="F20" i="98"/>
  <c r="X16" i="98"/>
  <c r="X20" i="98"/>
  <c r="N13" i="99"/>
  <c r="N22" i="99"/>
  <c r="N24" i="99"/>
  <c r="N16" i="100"/>
  <c r="N20" i="100"/>
  <c r="L22" i="100"/>
  <c r="L24" i="100"/>
  <c r="J36" i="98"/>
  <c r="J34" i="98"/>
  <c r="J33" i="98"/>
  <c r="J31" i="98"/>
  <c r="J29" i="98"/>
  <c r="J27" i="98"/>
  <c r="J25" i="98"/>
  <c r="J24" i="98"/>
  <c r="J22" i="98"/>
  <c r="J21" i="98"/>
  <c r="J20" i="98"/>
  <c r="J18" i="98"/>
  <c r="J16" i="98"/>
  <c r="J15" i="98"/>
  <c r="H18" i="98"/>
  <c r="N12" i="98"/>
  <c r="X13" i="98"/>
  <c r="Z15" i="98"/>
  <c r="X21" i="98"/>
  <c r="X15" i="99"/>
  <c r="N25" i="99"/>
  <c r="N29" i="99"/>
  <c r="N33" i="99"/>
  <c r="N34" i="99"/>
  <c r="L13" i="100"/>
  <c r="N21" i="100"/>
  <c r="L25" i="100"/>
  <c r="L29" i="100"/>
  <c r="L33" i="100"/>
  <c r="L34" i="100"/>
  <c r="Z13" i="98"/>
  <c r="Z16" i="98"/>
  <c r="Z20" i="98"/>
  <c r="X22" i="98"/>
  <c r="X24" i="98"/>
  <c r="F36" i="99"/>
  <c r="F34" i="99"/>
  <c r="F33" i="99"/>
  <c r="F31" i="99"/>
  <c r="F29" i="99"/>
  <c r="F27" i="99"/>
  <c r="F25" i="99"/>
  <c r="F24" i="99"/>
  <c r="F22" i="99"/>
  <c r="F21" i="99"/>
  <c r="F20" i="99"/>
  <c r="F18" i="99"/>
  <c r="F16" i="99"/>
  <c r="L12" i="99"/>
  <c r="F15" i="99"/>
  <c r="D18" i="99"/>
  <c r="X16" i="99"/>
  <c r="X20" i="99"/>
  <c r="N13" i="100"/>
  <c r="N22" i="100"/>
  <c r="N24" i="100"/>
  <c r="N155" i="3"/>
  <c r="R250" i="3"/>
  <c r="R230" i="3"/>
  <c r="R210" i="3"/>
  <c r="R202" i="3"/>
  <c r="R186" i="3"/>
  <c r="R179" i="3"/>
  <c r="R178" i="3"/>
  <c r="R272" i="3"/>
  <c r="R237" i="3"/>
  <c r="R236" i="3"/>
  <c r="R220" i="3"/>
  <c r="R180" i="3"/>
  <c r="R262" i="3"/>
  <c r="R246" i="3"/>
  <c r="R242" i="3"/>
  <c r="R238" i="3"/>
  <c r="R226" i="3"/>
  <c r="R174" i="3"/>
  <c r="R170" i="3"/>
  <c r="R263" i="3"/>
  <c r="R254" i="3"/>
  <c r="R253" i="3"/>
  <c r="R221" i="3"/>
  <c r="R214" i="3"/>
  <c r="R213" i="3"/>
  <c r="R198" i="3"/>
  <c r="R197" i="3"/>
  <c r="R189" i="3"/>
  <c r="R182" i="3"/>
  <c r="R181" i="3"/>
  <c r="R264" i="3"/>
  <c r="R232" i="3"/>
  <c r="R205" i="3"/>
  <c r="R204" i="3"/>
  <c r="R265" i="3"/>
  <c r="R255" i="3"/>
  <c r="R247" i="3"/>
  <c r="R243" i="3"/>
  <c r="R239" i="3"/>
  <c r="R228" i="3"/>
  <c r="R227" i="3"/>
  <c r="R216" i="3"/>
  <c r="R215" i="3"/>
  <c r="R199" i="3"/>
  <c r="R184" i="3"/>
  <c r="R183" i="3"/>
  <c r="R175" i="3"/>
  <c r="R171" i="3"/>
  <c r="R167" i="3"/>
  <c r="R268" i="3"/>
  <c r="R256" i="3"/>
  <c r="R249" i="3"/>
  <c r="R248" i="3"/>
  <c r="R244" i="3"/>
  <c r="R240" i="3"/>
  <c r="R224" i="3"/>
  <c r="R209" i="3"/>
  <c r="R208" i="3"/>
  <c r="R201" i="3"/>
  <c r="R200" i="3"/>
  <c r="R192" i="3"/>
  <c r="R177" i="3"/>
  <c r="R176" i="3"/>
  <c r="R172" i="3"/>
  <c r="R168" i="3"/>
  <c r="R276" i="3"/>
  <c r="R241" i="3"/>
  <c r="R218" i="3"/>
  <c r="R154" i="3"/>
  <c r="R152" i="3"/>
  <c r="R137" i="3"/>
  <c r="R105" i="3"/>
  <c r="R266" i="3"/>
  <c r="R258" i="3"/>
  <c r="R251" i="3"/>
  <c r="R164" i="3"/>
  <c r="R160" i="3"/>
  <c r="R156" i="3"/>
  <c r="P152" i="3"/>
  <c r="R145" i="3"/>
  <c r="R245" i="3"/>
  <c r="R231" i="3"/>
  <c r="R212" i="3"/>
  <c r="R203" i="3"/>
  <c r="R196" i="3"/>
  <c r="R187" i="3"/>
  <c r="R147" i="3"/>
  <c r="R143" i="3"/>
  <c r="R139" i="3"/>
  <c r="R135" i="3"/>
  <c r="R131" i="3"/>
  <c r="R127" i="3"/>
  <c r="R123" i="3"/>
  <c r="R119" i="3"/>
  <c r="R115" i="3"/>
  <c r="R111" i="3"/>
  <c r="R107" i="3"/>
  <c r="R103" i="3"/>
  <c r="R141" i="3"/>
  <c r="R117" i="3"/>
  <c r="R191" i="3"/>
  <c r="R229" i="3"/>
  <c r="R194" i="3"/>
  <c r="R257" i="3"/>
  <c r="R277" i="3"/>
  <c r="R234" i="3"/>
  <c r="R233" i="3"/>
  <c r="R223" i="3"/>
  <c r="R185" i="3"/>
  <c r="R165" i="3"/>
  <c r="R161" i="3"/>
  <c r="R157" i="3"/>
  <c r="R190" i="3"/>
  <c r="R166" i="3"/>
  <c r="R148" i="3"/>
  <c r="R144" i="3"/>
  <c r="R140" i="3"/>
  <c r="R136" i="3"/>
  <c r="R132" i="3"/>
  <c r="R128" i="3"/>
  <c r="R124" i="3"/>
  <c r="R120" i="3"/>
  <c r="R116" i="3"/>
  <c r="R112" i="3"/>
  <c r="R108" i="3"/>
  <c r="R104" i="3"/>
  <c r="X12" i="3"/>
  <c r="Z12" i="3" s="1"/>
  <c r="R100" i="3"/>
  <c r="R125" i="3"/>
  <c r="R121" i="3"/>
  <c r="R259" i="3"/>
  <c r="R252" i="3"/>
  <c r="R225" i="3"/>
  <c r="R219" i="3"/>
  <c r="R173" i="3"/>
  <c r="R267" i="3"/>
  <c r="R206" i="3"/>
  <c r="R188" i="3"/>
  <c r="R169" i="3"/>
  <c r="R162" i="3"/>
  <c r="R158" i="3"/>
  <c r="R133" i="3"/>
  <c r="R109" i="3"/>
  <c r="R101" i="3"/>
  <c r="R195" i="3"/>
  <c r="R217" i="3"/>
  <c r="R211" i="3"/>
  <c r="R193" i="3"/>
  <c r="R163" i="3"/>
  <c r="R159" i="3"/>
  <c r="R129" i="3"/>
  <c r="R113" i="3"/>
  <c r="R235" i="3"/>
  <c r="R222" i="3"/>
  <c r="R207" i="3"/>
  <c r="R155" i="3"/>
  <c r="R150" i="3"/>
  <c r="R146" i="3"/>
  <c r="R142" i="3"/>
  <c r="R138" i="3"/>
  <c r="R134" i="3"/>
  <c r="R130" i="3"/>
  <c r="R126" i="3"/>
  <c r="R122" i="3"/>
  <c r="R118" i="3"/>
  <c r="R114" i="3"/>
  <c r="R110" i="3"/>
  <c r="R106" i="3"/>
  <c r="R102" i="3"/>
  <c r="R149" i="3"/>
  <c r="F265" i="3"/>
  <c r="F222" i="3"/>
  <c r="F206" i="3"/>
  <c r="F205" i="3"/>
  <c r="F190" i="3"/>
  <c r="F267" i="3"/>
  <c r="F256" i="3"/>
  <c r="F248" i="3"/>
  <c r="F244" i="3"/>
  <c r="F240" i="3"/>
  <c r="F224" i="3"/>
  <c r="F223" i="3"/>
  <c r="F208" i="3"/>
  <c r="F207" i="3"/>
  <c r="F200" i="3"/>
  <c r="F192" i="3"/>
  <c r="F191" i="3"/>
  <c r="F176" i="3"/>
  <c r="F172" i="3"/>
  <c r="F250" i="3"/>
  <c r="F249" i="3"/>
  <c r="F230" i="3"/>
  <c r="F210" i="3"/>
  <c r="F209" i="3"/>
  <c r="F202" i="3"/>
  <c r="F201" i="3"/>
  <c r="F186" i="3"/>
  <c r="F178" i="3"/>
  <c r="F177" i="3"/>
  <c r="F257" i="3"/>
  <c r="F245" i="3"/>
  <c r="F241" i="3"/>
  <c r="F225" i="3"/>
  <c r="F193" i="3"/>
  <c r="F173" i="3"/>
  <c r="F272" i="3"/>
  <c r="F236" i="3"/>
  <c r="F220" i="3"/>
  <c r="F180" i="3"/>
  <c r="F179" i="3"/>
  <c r="F259" i="3"/>
  <c r="F258" i="3"/>
  <c r="F251" i="3"/>
  <c r="F231" i="3"/>
  <c r="F211" i="3"/>
  <c r="F203" i="3"/>
  <c r="F195" i="3"/>
  <c r="F194" i="3"/>
  <c r="F187" i="3"/>
  <c r="F263" i="3"/>
  <c r="F261" i="3"/>
  <c r="F232" i="3"/>
  <c r="F204" i="3"/>
  <c r="F253" i="3"/>
  <c r="F239" i="3"/>
  <c r="F237" i="3"/>
  <c r="F217" i="3"/>
  <c r="F149" i="3"/>
  <c r="F145" i="3"/>
  <c r="F141" i="3"/>
  <c r="F137" i="3"/>
  <c r="F133" i="3"/>
  <c r="F129" i="3"/>
  <c r="F125" i="3"/>
  <c r="F121" i="3"/>
  <c r="F117" i="3"/>
  <c r="F113" i="3"/>
  <c r="F109" i="3"/>
  <c r="F105" i="3"/>
  <c r="F100" i="3"/>
  <c r="F182" i="3"/>
  <c r="F157" i="3"/>
  <c r="F242" i="3"/>
  <c r="F120" i="3"/>
  <c r="F235" i="3"/>
  <c r="F214" i="3"/>
  <c r="F213" i="3"/>
  <c r="F171" i="3"/>
  <c r="F216" i="3"/>
  <c r="F268" i="3"/>
  <c r="F243" i="3"/>
  <c r="F228" i="3"/>
  <c r="F198" i="3"/>
  <c r="F189" i="3"/>
  <c r="F163" i="3"/>
  <c r="F159" i="3"/>
  <c r="F181" i="3"/>
  <c r="F174" i="3"/>
  <c r="F170" i="3"/>
  <c r="F150" i="3"/>
  <c r="F146" i="3"/>
  <c r="F142" i="3"/>
  <c r="F138" i="3"/>
  <c r="F134" i="3"/>
  <c r="F126" i="3"/>
  <c r="F122" i="3"/>
  <c r="F110" i="3"/>
  <c r="F106" i="3"/>
  <c r="F102" i="3"/>
  <c r="F255" i="3"/>
  <c r="F221" i="3"/>
  <c r="F161" i="3"/>
  <c r="F262" i="3"/>
  <c r="F252" i="3"/>
  <c r="F132" i="3"/>
  <c r="F116" i="3"/>
  <c r="F276" i="3"/>
  <c r="F226" i="3"/>
  <c r="F184" i="3"/>
  <c r="F130" i="3"/>
  <c r="F118" i="3"/>
  <c r="F114" i="3"/>
  <c r="F266" i="3"/>
  <c r="F247" i="3"/>
  <c r="F215" i="3"/>
  <c r="F104" i="3"/>
  <c r="L12" i="3"/>
  <c r="N12" i="3" s="1"/>
  <c r="F254" i="3"/>
  <c r="F229" i="3"/>
  <c r="F218" i="3"/>
  <c r="F212" i="3"/>
  <c r="F199" i="3"/>
  <c r="F196" i="3"/>
  <c r="F168" i="3"/>
  <c r="F164" i="3"/>
  <c r="F160" i="3"/>
  <c r="F156" i="3"/>
  <c r="F155" i="3"/>
  <c r="F139" i="3"/>
  <c r="F135" i="3"/>
  <c r="F127" i="3"/>
  <c r="F123" i="3"/>
  <c r="F115" i="3"/>
  <c r="F111" i="3"/>
  <c r="F197" i="3"/>
  <c r="F144" i="3"/>
  <c r="F136" i="3"/>
  <c r="F264" i="3"/>
  <c r="F238" i="3"/>
  <c r="F233" i="3"/>
  <c r="F154" i="3"/>
  <c r="F152" i="3"/>
  <c r="F147" i="3"/>
  <c r="F143" i="3"/>
  <c r="F131" i="3"/>
  <c r="F119" i="3"/>
  <c r="F107" i="3"/>
  <c r="F103" i="3"/>
  <c r="F128" i="3"/>
  <c r="F277" i="3"/>
  <c r="F185" i="3"/>
  <c r="D152" i="3"/>
  <c r="F175" i="3"/>
  <c r="F148" i="3"/>
  <c r="F124" i="3"/>
  <c r="F112" i="3"/>
  <c r="F234" i="3"/>
  <c r="F188" i="3"/>
  <c r="F183" i="3"/>
  <c r="F169" i="3"/>
  <c r="F166" i="3"/>
  <c r="F227" i="3"/>
  <c r="F246" i="3"/>
  <c r="F167" i="3"/>
  <c r="F162" i="3"/>
  <c r="F158" i="3"/>
  <c r="F101" i="3"/>
  <c r="F165" i="3"/>
  <c r="F219" i="3"/>
  <c r="F140" i="3"/>
  <c r="F108" i="3"/>
  <c r="X15" i="3"/>
  <c r="V104" i="21"/>
  <c r="V84" i="21"/>
  <c r="V72" i="21"/>
  <c r="V60" i="21"/>
  <c r="V36" i="21"/>
  <c r="V32" i="21"/>
  <c r="V103" i="21"/>
  <c r="V95" i="21"/>
  <c r="V91" i="21"/>
  <c r="V79" i="21"/>
  <c r="V71" i="21"/>
  <c r="V59" i="21"/>
  <c r="V51" i="21"/>
  <c r="V23" i="21"/>
  <c r="V78" i="21"/>
  <c r="V74" i="21"/>
  <c r="V62" i="21"/>
  <c r="V50" i="21"/>
  <c r="V46" i="21"/>
  <c r="V42" i="21"/>
  <c r="V96" i="21"/>
  <c r="V92" i="21"/>
  <c r="V80" i="21"/>
  <c r="V64" i="21"/>
  <c r="V52" i="21"/>
  <c r="V24" i="21"/>
  <c r="V87" i="21"/>
  <c r="V75" i="21"/>
  <c r="V63" i="21"/>
  <c r="V55" i="21"/>
  <c r="V47" i="21"/>
  <c r="V43" i="21"/>
  <c r="V98" i="21"/>
  <c r="V86" i="21"/>
  <c r="V82" i="21"/>
  <c r="V66" i="21"/>
  <c r="V111" i="21"/>
  <c r="V93" i="21"/>
  <c r="V89" i="21"/>
  <c r="V81" i="21"/>
  <c r="V65" i="21"/>
  <c r="V57" i="21"/>
  <c r="V29" i="21"/>
  <c r="V25" i="21"/>
  <c r="V102" i="21"/>
  <c r="V94" i="21"/>
  <c r="V90" i="21"/>
  <c r="V70" i="21"/>
  <c r="V58" i="21"/>
  <c r="V22" i="21"/>
  <c r="V83" i="21"/>
  <c r="V69" i="21"/>
  <c r="V41" i="21"/>
  <c r="V39" i="21"/>
  <c r="T27" i="21"/>
  <c r="V100" i="21"/>
  <c r="V34" i="21"/>
  <c r="V61" i="21"/>
  <c r="V48" i="21"/>
  <c r="V85" i="21"/>
  <c r="V77" i="21"/>
  <c r="V68" i="21"/>
  <c r="V56" i="21"/>
  <c r="V31" i="21"/>
  <c r="V44" i="21"/>
  <c r="V40" i="21"/>
  <c r="V38" i="21"/>
  <c r="V97" i="21"/>
  <c r="V73" i="21"/>
  <c r="V54" i="21"/>
  <c r="V105" i="21"/>
  <c r="V107" i="21"/>
  <c r="V101" i="21"/>
  <c r="V76" i="21"/>
  <c r="V53" i="21"/>
  <c r="V33" i="21"/>
  <c r="V67" i="21"/>
  <c r="V49" i="21"/>
  <c r="V45" i="21"/>
  <c r="V35" i="21"/>
  <c r="V88" i="21"/>
  <c r="V99" i="21"/>
  <c r="V30" i="21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T152" i="3"/>
  <c r="V176" i="3"/>
  <c r="J186" i="3"/>
  <c r="L188" i="3"/>
  <c r="N188" i="3" s="1"/>
  <c r="J202" i="3"/>
  <c r="J204" i="3"/>
  <c r="X209" i="3"/>
  <c r="J214" i="3"/>
  <c r="Z218" i="3"/>
  <c r="J232" i="3"/>
  <c r="N237" i="3"/>
  <c r="J248" i="3"/>
  <c r="V254" i="3"/>
  <c r="V258" i="3"/>
  <c r="P17" i="9"/>
  <c r="R48" i="9"/>
  <c r="X67" i="9"/>
  <c r="Z67" i="9" s="1"/>
  <c r="R76" i="9"/>
  <c r="X191" i="15"/>
  <c r="Z191" i="15" s="1"/>
  <c r="V37" i="21"/>
  <c r="F76" i="30"/>
  <c r="X265" i="3"/>
  <c r="P261" i="3"/>
  <c r="X261" i="3" s="1"/>
  <c r="J266" i="3"/>
  <c r="J233" i="3"/>
  <c r="J229" i="3"/>
  <c r="J223" i="3"/>
  <c r="J217" i="3"/>
  <c r="J207" i="3"/>
  <c r="J191" i="3"/>
  <c r="J185" i="3"/>
  <c r="J268" i="3"/>
  <c r="J249" i="3"/>
  <c r="J235" i="3"/>
  <c r="J219" i="3"/>
  <c r="J209" i="3"/>
  <c r="J201" i="3"/>
  <c r="J177" i="3"/>
  <c r="J257" i="3"/>
  <c r="J245" i="3"/>
  <c r="J241" i="3"/>
  <c r="J225" i="3"/>
  <c r="J193" i="3"/>
  <c r="J179" i="3"/>
  <c r="J173" i="3"/>
  <c r="J169" i="3"/>
  <c r="J272" i="3"/>
  <c r="J258" i="3"/>
  <c r="J236" i="3"/>
  <c r="J220" i="3"/>
  <c r="J194" i="3"/>
  <c r="J180" i="3"/>
  <c r="J259" i="3"/>
  <c r="J251" i="3"/>
  <c r="J237" i="3"/>
  <c r="J231" i="3"/>
  <c r="J211" i="3"/>
  <c r="J203" i="3"/>
  <c r="J195" i="3"/>
  <c r="J187" i="3"/>
  <c r="J277" i="3"/>
  <c r="J276" i="3"/>
  <c r="J252" i="3"/>
  <c r="J246" i="3"/>
  <c r="J242" i="3"/>
  <c r="J238" i="3"/>
  <c r="J226" i="3"/>
  <c r="J212" i="3"/>
  <c r="J196" i="3"/>
  <c r="J188" i="3"/>
  <c r="J174" i="3"/>
  <c r="J170" i="3"/>
  <c r="J264" i="3"/>
  <c r="J255" i="3"/>
  <c r="J247" i="3"/>
  <c r="J243" i="3"/>
  <c r="J239" i="3"/>
  <c r="J227" i="3"/>
  <c r="J215" i="3"/>
  <c r="J205" i="3"/>
  <c r="J199" i="3"/>
  <c r="J183" i="3"/>
  <c r="J175" i="3"/>
  <c r="J171" i="3"/>
  <c r="J167" i="3"/>
  <c r="J100" i="3"/>
  <c r="V102" i="3"/>
  <c r="V106" i="3"/>
  <c r="V110" i="3"/>
  <c r="V114" i="3"/>
  <c r="V118" i="3"/>
  <c r="V122" i="3"/>
  <c r="V126" i="3"/>
  <c r="V130" i="3"/>
  <c r="V134" i="3"/>
  <c r="V138" i="3"/>
  <c r="V142" i="3"/>
  <c r="V146" i="3"/>
  <c r="V150" i="3"/>
  <c r="V152" i="3"/>
  <c r="V154" i="3"/>
  <c r="J158" i="3"/>
  <c r="J162" i="3"/>
  <c r="J206" i="3"/>
  <c r="Z209" i="3"/>
  <c r="V224" i="3"/>
  <c r="J230" i="3"/>
  <c r="J250" i="3"/>
  <c r="L252" i="3"/>
  <c r="J265" i="3"/>
  <c r="J267" i="3"/>
  <c r="V268" i="3"/>
  <c r="V276" i="3"/>
  <c r="R22" i="6"/>
  <c r="R20" i="6"/>
  <c r="R18" i="6"/>
  <c r="R16" i="6"/>
  <c r="R14" i="6"/>
  <c r="P16" i="6"/>
  <c r="R24" i="6"/>
  <c r="T16" i="6"/>
  <c r="N29" i="6"/>
  <c r="Z17" i="9"/>
  <c r="T103" i="9"/>
  <c r="R23" i="9"/>
  <c r="R89" i="9"/>
  <c r="R99" i="9"/>
  <c r="Z138" i="12"/>
  <c r="Z147" i="15"/>
  <c r="X147" i="15"/>
  <c r="N235" i="18"/>
  <c r="L235" i="18"/>
  <c r="V101" i="3"/>
  <c r="V105" i="3"/>
  <c r="V109" i="3"/>
  <c r="V113" i="3"/>
  <c r="V117" i="3"/>
  <c r="V121" i="3"/>
  <c r="V125" i="3"/>
  <c r="V129" i="3"/>
  <c r="V133" i="3"/>
  <c r="V137" i="3"/>
  <c r="V141" i="3"/>
  <c r="V145" i="3"/>
  <c r="V149" i="3"/>
  <c r="J157" i="3"/>
  <c r="J161" i="3"/>
  <c r="J165" i="3"/>
  <c r="V180" i="3"/>
  <c r="J197" i="3"/>
  <c r="J210" i="3"/>
  <c r="J213" i="3"/>
  <c r="V214" i="3"/>
  <c r="J216" i="3"/>
  <c r="J221" i="3"/>
  <c r="N223" i="3"/>
  <c r="V230" i="3"/>
  <c r="J240" i="3"/>
  <c r="L14" i="6"/>
  <c r="R29" i="6"/>
  <c r="R32" i="9"/>
  <c r="N45" i="9"/>
  <c r="R57" i="9"/>
  <c r="Z72" i="9"/>
  <c r="P12" i="12"/>
  <c r="X13" i="12"/>
  <c r="Z13" i="12" s="1"/>
  <c r="L81" i="12"/>
  <c r="F143" i="30"/>
  <c r="F131" i="30"/>
  <c r="F123" i="30"/>
  <c r="F122" i="30"/>
  <c r="F115" i="30"/>
  <c r="F114" i="30"/>
  <c r="F103" i="30"/>
  <c r="F102" i="30"/>
  <c r="F162" i="30"/>
  <c r="F161" i="30"/>
  <c r="F154" i="30"/>
  <c r="F153" i="30"/>
  <c r="F138" i="30"/>
  <c r="F137" i="30"/>
  <c r="F149" i="30"/>
  <c r="F145" i="30"/>
  <c r="F144" i="30"/>
  <c r="F105" i="30"/>
  <c r="F104" i="30"/>
  <c r="F166" i="30"/>
  <c r="F164" i="30"/>
  <c r="F155" i="30"/>
  <c r="F139" i="30"/>
  <c r="F167" i="30"/>
  <c r="F150" i="30"/>
  <c r="F146" i="30"/>
  <c r="F134" i="30"/>
  <c r="F133" i="30"/>
  <c r="F126" i="30"/>
  <c r="F125" i="30"/>
  <c r="F118" i="30"/>
  <c r="F117" i="30"/>
  <c r="F140" i="30"/>
  <c r="F128" i="30"/>
  <c r="F127" i="30"/>
  <c r="F100" i="30"/>
  <c r="F96" i="30"/>
  <c r="F171" i="30"/>
  <c r="F159" i="30"/>
  <c r="F158" i="30"/>
  <c r="F151" i="30"/>
  <c r="F147" i="30"/>
  <c r="F135" i="30"/>
  <c r="F119" i="30"/>
  <c r="F121" i="30"/>
  <c r="F120" i="30"/>
  <c r="F113" i="30"/>
  <c r="F112" i="30"/>
  <c r="F136" i="30"/>
  <c r="F80" i="30"/>
  <c r="F73" i="30"/>
  <c r="F69" i="30"/>
  <c r="F65" i="30"/>
  <c r="F61" i="30"/>
  <c r="F57" i="30"/>
  <c r="F53" i="30"/>
  <c r="F52" i="30"/>
  <c r="F92" i="30"/>
  <c r="F91" i="30"/>
  <c r="D78" i="30"/>
  <c r="F78" i="30" s="1"/>
  <c r="F152" i="30"/>
  <c r="F106" i="30"/>
  <c r="F99" i="30"/>
  <c r="F87" i="30"/>
  <c r="F83" i="30"/>
  <c r="F141" i="30"/>
  <c r="F74" i="30"/>
  <c r="F70" i="30"/>
  <c r="F66" i="30"/>
  <c r="F62" i="30"/>
  <c r="F58" i="30"/>
  <c r="F54" i="30"/>
  <c r="F157" i="30"/>
  <c r="F110" i="30"/>
  <c r="F107" i="30"/>
  <c r="F93" i="30"/>
  <c r="F88" i="30"/>
  <c r="F84" i="30"/>
  <c r="F142" i="30"/>
  <c r="F75" i="30"/>
  <c r="F71" i="30"/>
  <c r="F67" i="30"/>
  <c r="F63" i="30"/>
  <c r="F59" i="30"/>
  <c r="F55" i="30"/>
  <c r="F129" i="30"/>
  <c r="F124" i="30"/>
  <c r="F116" i="30"/>
  <c r="F97" i="30"/>
  <c r="F111" i="30"/>
  <c r="F108" i="30"/>
  <c r="F94" i="30"/>
  <c r="F89" i="30"/>
  <c r="F85" i="30"/>
  <c r="F165" i="30"/>
  <c r="F160" i="30"/>
  <c r="F148" i="30"/>
  <c r="F98" i="30"/>
  <c r="F130" i="30"/>
  <c r="F132" i="30"/>
  <c r="F82" i="30"/>
  <c r="F109" i="30"/>
  <c r="F95" i="30"/>
  <c r="F90" i="30"/>
  <c r="F56" i="30"/>
  <c r="F156" i="30"/>
  <c r="F60" i="30"/>
  <c r="L12" i="30"/>
  <c r="F101" i="30"/>
  <c r="F72" i="30"/>
  <c r="F86" i="30"/>
  <c r="F64" i="30"/>
  <c r="F68" i="30"/>
  <c r="V257" i="3"/>
  <c r="V245" i="3"/>
  <c r="V241" i="3"/>
  <c r="V237" i="3"/>
  <c r="V225" i="3"/>
  <c r="V193" i="3"/>
  <c r="V173" i="3"/>
  <c r="V169" i="3"/>
  <c r="V261" i="3"/>
  <c r="V259" i="3"/>
  <c r="V251" i="3"/>
  <c r="V231" i="3"/>
  <c r="V211" i="3"/>
  <c r="V203" i="3"/>
  <c r="V195" i="3"/>
  <c r="V187" i="3"/>
  <c r="V263" i="3"/>
  <c r="V253" i="3"/>
  <c r="V221" i="3"/>
  <c r="V213" i="3"/>
  <c r="V205" i="3"/>
  <c r="V197" i="3"/>
  <c r="V189" i="3"/>
  <c r="V181" i="3"/>
  <c r="V264" i="3"/>
  <c r="V232" i="3"/>
  <c r="V228" i="3"/>
  <c r="V216" i="3"/>
  <c r="V204" i="3"/>
  <c r="V184" i="3"/>
  <c r="V265" i="3"/>
  <c r="V255" i="3"/>
  <c r="V247" i="3"/>
  <c r="V243" i="3"/>
  <c r="V239" i="3"/>
  <c r="V227" i="3"/>
  <c r="V223" i="3"/>
  <c r="V215" i="3"/>
  <c r="V207" i="3"/>
  <c r="V199" i="3"/>
  <c r="V191" i="3"/>
  <c r="V183" i="3"/>
  <c r="V175" i="3"/>
  <c r="V171" i="3"/>
  <c r="V266" i="3"/>
  <c r="V234" i="3"/>
  <c r="V222" i="3"/>
  <c r="V218" i="3"/>
  <c r="V206" i="3"/>
  <c r="V190" i="3"/>
  <c r="V235" i="3"/>
  <c r="V219" i="3"/>
  <c r="V179" i="3"/>
  <c r="V158" i="3"/>
  <c r="V162" i="3"/>
  <c r="J182" i="3"/>
  <c r="J192" i="3"/>
  <c r="V242" i="3"/>
  <c r="V244" i="3"/>
  <c r="V267" i="3"/>
  <c r="N277" i="3"/>
  <c r="Z29" i="6"/>
  <c r="Z32" i="9"/>
  <c r="N81" i="12"/>
  <c r="N252" i="3"/>
  <c r="J103" i="3"/>
  <c r="J107" i="3"/>
  <c r="J111" i="3"/>
  <c r="J115" i="3"/>
  <c r="J119" i="3"/>
  <c r="J123" i="3"/>
  <c r="J127" i="3"/>
  <c r="J131" i="3"/>
  <c r="J135" i="3"/>
  <c r="J139" i="3"/>
  <c r="J143" i="3"/>
  <c r="J147" i="3"/>
  <c r="H152" i="3"/>
  <c r="L177" i="3"/>
  <c r="N177" i="3" s="1"/>
  <c r="V188" i="3"/>
  <c r="N201" i="3"/>
  <c r="V208" i="3"/>
  <c r="X234" i="3"/>
  <c r="V236" i="3"/>
  <c r="V262" i="3"/>
  <c r="Z19" i="9"/>
  <c r="Z43" i="9"/>
  <c r="N62" i="9"/>
  <c r="R88" i="9"/>
  <c r="J81" i="12"/>
  <c r="Z154" i="12"/>
  <c r="Z163" i="15"/>
  <c r="X163" i="15"/>
  <c r="P12" i="15"/>
  <c r="V100" i="3"/>
  <c r="V104" i="3"/>
  <c r="V108" i="3"/>
  <c r="V112" i="3"/>
  <c r="V116" i="3"/>
  <c r="V120" i="3"/>
  <c r="V124" i="3"/>
  <c r="V128" i="3"/>
  <c r="V132" i="3"/>
  <c r="V136" i="3"/>
  <c r="V140" i="3"/>
  <c r="V144" i="3"/>
  <c r="V148" i="3"/>
  <c r="J154" i="3"/>
  <c r="J156" i="3"/>
  <c r="J160" i="3"/>
  <c r="J164" i="3"/>
  <c r="J168" i="3"/>
  <c r="X177" i="3"/>
  <c r="Z177" i="3" s="1"/>
  <c r="N196" i="3"/>
  <c r="V210" i="3"/>
  <c r="V238" i="3"/>
  <c r="V240" i="3"/>
  <c r="N249" i="3"/>
  <c r="V252" i="3"/>
  <c r="L261" i="3"/>
  <c r="N28" i="6"/>
  <c r="R49" i="9"/>
  <c r="R77" i="9"/>
  <c r="Z159" i="12"/>
  <c r="N181" i="15"/>
  <c r="J155" i="3"/>
  <c r="V157" i="3"/>
  <c r="V161" i="3"/>
  <c r="J218" i="3"/>
  <c r="V233" i="3"/>
  <c r="Z234" i="3"/>
  <c r="J254" i="3"/>
  <c r="J256" i="3"/>
  <c r="N261" i="3"/>
  <c r="R103" i="9"/>
  <c r="R68" i="9"/>
  <c r="R60" i="9"/>
  <c r="R28" i="9"/>
  <c r="R24" i="9"/>
  <c r="R92" i="9"/>
  <c r="R91" i="9"/>
  <c r="R80" i="9"/>
  <c r="R79" i="9"/>
  <c r="R52" i="9"/>
  <c r="R51" i="9"/>
  <c r="R20" i="9"/>
  <c r="R86" i="9"/>
  <c r="R74" i="9"/>
  <c r="R43" i="9"/>
  <c r="R42" i="9"/>
  <c r="R38" i="9"/>
  <c r="R34" i="9"/>
  <c r="R19" i="9"/>
  <c r="R17" i="9"/>
  <c r="R15" i="9"/>
  <c r="R105" i="9"/>
  <c r="R94" i="9"/>
  <c r="R93" i="9"/>
  <c r="R81" i="9"/>
  <c r="R69" i="9"/>
  <c r="R62" i="9"/>
  <c r="R61" i="9"/>
  <c r="R53" i="9"/>
  <c r="R29" i="9"/>
  <c r="R25" i="9"/>
  <c r="R21" i="9"/>
  <c r="R110" i="9"/>
  <c r="R107" i="9"/>
  <c r="R45" i="9"/>
  <c r="R44" i="9"/>
  <c r="R95" i="9"/>
  <c r="R87" i="9"/>
  <c r="R75" i="9"/>
  <c r="R64" i="9"/>
  <c r="R63" i="9"/>
  <c r="R39" i="9"/>
  <c r="R35" i="9"/>
  <c r="R83" i="9"/>
  <c r="R82" i="9"/>
  <c r="R70" i="9"/>
  <c r="R55" i="9"/>
  <c r="R54" i="9"/>
  <c r="R47" i="9"/>
  <c r="R46" i="9"/>
  <c r="R30" i="9"/>
  <c r="R26" i="9"/>
  <c r="R22" i="9"/>
  <c r="X12" i="9"/>
  <c r="R65" i="9"/>
  <c r="R100" i="9"/>
  <c r="R90" i="9"/>
  <c r="R78" i="9"/>
  <c r="R67" i="9"/>
  <c r="R66" i="9"/>
  <c r="R59" i="9"/>
  <c r="R58" i="9"/>
  <c r="R50" i="9"/>
  <c r="R101" i="9"/>
  <c r="R85" i="9"/>
  <c r="R73" i="9"/>
  <c r="R41" i="9"/>
  <c r="R37" i="9"/>
  <c r="R33" i="9"/>
  <c r="R71" i="9"/>
  <c r="R84" i="9"/>
  <c r="X98" i="9"/>
  <c r="Z81" i="12"/>
  <c r="L229" i="12"/>
  <c r="N229" i="12" s="1"/>
  <c r="D228" i="12"/>
  <c r="L228" i="12" s="1"/>
  <c r="D12" i="15"/>
  <c r="L15" i="15"/>
  <c r="V165" i="3"/>
  <c r="V166" i="3"/>
  <c r="J172" i="3"/>
  <c r="V185" i="3"/>
  <c r="V192" i="3"/>
  <c r="J102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J176" i="3"/>
  <c r="V177" i="3"/>
  <c r="J181" i="3"/>
  <c r="V182" i="3"/>
  <c r="Z201" i="3"/>
  <c r="N207" i="3"/>
  <c r="J222" i="3"/>
  <c r="V229" i="3"/>
  <c r="X249" i="3"/>
  <c r="J261" i="3"/>
  <c r="N276" i="3"/>
  <c r="V277" i="3"/>
  <c r="X14" i="6"/>
  <c r="L20" i="6"/>
  <c r="R31" i="9"/>
  <c r="R56" i="9"/>
  <c r="N149" i="12"/>
  <c r="Z173" i="18"/>
  <c r="X173" i="18"/>
  <c r="Z167" i="12"/>
  <c r="V103" i="3"/>
  <c r="V107" i="3"/>
  <c r="V111" i="3"/>
  <c r="V115" i="3"/>
  <c r="V119" i="3"/>
  <c r="V123" i="3"/>
  <c r="V127" i="3"/>
  <c r="V131" i="3"/>
  <c r="V135" i="3"/>
  <c r="V139" i="3"/>
  <c r="V143" i="3"/>
  <c r="V147" i="3"/>
  <c r="J159" i="3"/>
  <c r="J163" i="3"/>
  <c r="V168" i="3"/>
  <c r="J184" i="3"/>
  <c r="J189" i="3"/>
  <c r="V194" i="3"/>
  <c r="V201" i="3"/>
  <c r="N209" i="3"/>
  <c r="J224" i="3"/>
  <c r="Z249" i="3"/>
  <c r="Z261" i="3"/>
  <c r="D16" i="6"/>
  <c r="R28" i="6"/>
  <c r="R31" i="6"/>
  <c r="D12" i="12"/>
  <c r="X237" i="3"/>
  <c r="Z237" i="3" s="1"/>
  <c r="Z59" i="9"/>
  <c r="V156" i="3"/>
  <c r="V160" i="3"/>
  <c r="V164" i="3"/>
  <c r="V170" i="3"/>
  <c r="V172" i="3"/>
  <c r="V174" i="3"/>
  <c r="J178" i="3"/>
  <c r="N191" i="3"/>
  <c r="V196" i="3"/>
  <c r="J198" i="3"/>
  <c r="J200" i="3"/>
  <c r="L209" i="3"/>
  <c r="V212" i="3"/>
  <c r="N214" i="3"/>
  <c r="V220" i="3"/>
  <c r="V226" i="3"/>
  <c r="J228" i="3"/>
  <c r="V249" i="3"/>
  <c r="V256" i="3"/>
  <c r="J263" i="3"/>
  <c r="V272" i="3"/>
  <c r="H16" i="6"/>
  <c r="D12" i="9"/>
  <c r="L13" i="9"/>
  <c r="R27" i="9"/>
  <c r="R40" i="9"/>
  <c r="N89" i="9"/>
  <c r="L94" i="9"/>
  <c r="N94" i="9" s="1"/>
  <c r="Z172" i="12"/>
  <c r="N152" i="15"/>
  <c r="N186" i="18"/>
  <c r="N202" i="18"/>
  <c r="N40" i="21"/>
  <c r="J36" i="9"/>
  <c r="J40" i="9"/>
  <c r="J48" i="9"/>
  <c r="J56" i="9"/>
  <c r="J76" i="9"/>
  <c r="J84" i="9"/>
  <c r="J88" i="9"/>
  <c r="J96" i="9"/>
  <c r="V84" i="12"/>
  <c r="V88" i="12"/>
  <c r="V92" i="12"/>
  <c r="V96" i="12"/>
  <c r="V100" i="12"/>
  <c r="V104" i="12"/>
  <c r="V108" i="12"/>
  <c r="V112" i="12"/>
  <c r="V116" i="12"/>
  <c r="V120" i="12"/>
  <c r="V156" i="12"/>
  <c r="X159" i="12"/>
  <c r="V179" i="12"/>
  <c r="L183" i="12"/>
  <c r="V212" i="12"/>
  <c r="X155" i="15"/>
  <c r="Z155" i="15" s="1"/>
  <c r="N219" i="18"/>
  <c r="L219" i="18"/>
  <c r="J62" i="21"/>
  <c r="D12" i="27"/>
  <c r="L13" i="27"/>
  <c r="N13" i="27" s="1"/>
  <c r="N103" i="27"/>
  <c r="L103" i="27"/>
  <c r="F14" i="6"/>
  <c r="F16" i="6"/>
  <c r="F18" i="6"/>
  <c r="F20" i="6"/>
  <c r="F22" i="6"/>
  <c r="J24" i="6"/>
  <c r="V33" i="9"/>
  <c r="V37" i="9"/>
  <c r="V41" i="9"/>
  <c r="J47" i="9"/>
  <c r="J55" i="9"/>
  <c r="J65" i="9"/>
  <c r="V73" i="9"/>
  <c r="J83" i="9"/>
  <c r="V85" i="9"/>
  <c r="V101" i="9"/>
  <c r="V103" i="9"/>
  <c r="J127" i="12"/>
  <c r="V129" i="12"/>
  <c r="V133" i="12"/>
  <c r="V137" i="12"/>
  <c r="J141" i="12"/>
  <c r="J145" i="12"/>
  <c r="J151" i="12"/>
  <c r="V153" i="12"/>
  <c r="J158" i="12"/>
  <c r="J164" i="12"/>
  <c r="X167" i="12"/>
  <c r="N169" i="12"/>
  <c r="L178" i="12"/>
  <c r="N178" i="12" s="1"/>
  <c r="J194" i="12"/>
  <c r="V199" i="12"/>
  <c r="V208" i="12"/>
  <c r="Z216" i="12"/>
  <c r="J222" i="12"/>
  <c r="J224" i="12"/>
  <c r="V122" i="15"/>
  <c r="L152" i="15"/>
  <c r="N209" i="15"/>
  <c r="L209" i="15"/>
  <c r="N146" i="18"/>
  <c r="J171" i="18"/>
  <c r="Z181" i="18"/>
  <c r="X181" i="18"/>
  <c r="L186" i="18"/>
  <c r="L202" i="18"/>
  <c r="J215" i="18"/>
  <c r="P244" i="18"/>
  <c r="X244" i="18" s="1"/>
  <c r="Z244" i="18" s="1"/>
  <c r="X62" i="21"/>
  <c r="Z62" i="21" s="1"/>
  <c r="N97" i="21"/>
  <c r="H17" i="9"/>
  <c r="V32" i="9"/>
  <c r="V36" i="9"/>
  <c r="V40" i="9"/>
  <c r="J44" i="9"/>
  <c r="V48" i="9"/>
  <c r="V56" i="9"/>
  <c r="J62" i="9"/>
  <c r="V72" i="9"/>
  <c r="V76" i="9"/>
  <c r="V84" i="9"/>
  <c r="V88" i="9"/>
  <c r="J94" i="9"/>
  <c r="V96" i="9"/>
  <c r="V98" i="9"/>
  <c r="J223" i="12"/>
  <c r="J215" i="12"/>
  <c r="J211" i="12"/>
  <c r="J207" i="12"/>
  <c r="J195" i="12"/>
  <c r="J165" i="12"/>
  <c r="J236" i="12"/>
  <c r="J216" i="12"/>
  <c r="J190" i="12"/>
  <c r="J182" i="12"/>
  <c r="J174" i="12"/>
  <c r="J166" i="12"/>
  <c r="J217" i="12"/>
  <c r="J201" i="12"/>
  <c r="J183" i="12"/>
  <c r="J167" i="12"/>
  <c r="J159" i="12"/>
  <c r="J226" i="12"/>
  <c r="J218" i="12"/>
  <c r="J202" i="12"/>
  <c r="J198" i="12"/>
  <c r="J192" i="12"/>
  <c r="J186" i="12"/>
  <c r="J176" i="12"/>
  <c r="J170" i="12"/>
  <c r="J219" i="12"/>
  <c r="J213" i="12"/>
  <c r="J209" i="12"/>
  <c r="J203" i="12"/>
  <c r="J193" i="12"/>
  <c r="J187" i="12"/>
  <c r="J177" i="12"/>
  <c r="J161" i="12"/>
  <c r="J229" i="12"/>
  <c r="J228" i="12"/>
  <c r="J220" i="12"/>
  <c r="J204" i="12"/>
  <c r="J188" i="12"/>
  <c r="J178" i="12"/>
  <c r="J162" i="12"/>
  <c r="J232" i="12"/>
  <c r="J205" i="12"/>
  <c r="J189" i="12"/>
  <c r="J181" i="12"/>
  <c r="J173" i="12"/>
  <c r="V128" i="12"/>
  <c r="V132" i="12"/>
  <c r="V136" i="12"/>
  <c r="J140" i="12"/>
  <c r="J144" i="12"/>
  <c r="J148" i="12"/>
  <c r="V152" i="12"/>
  <c r="V172" i="12"/>
  <c r="Z183" i="12"/>
  <c r="N185" i="12"/>
  <c r="V190" i="12"/>
  <c r="Z203" i="12"/>
  <c r="V215" i="12"/>
  <c r="D12" i="18"/>
  <c r="Z146" i="18"/>
  <c r="N178" i="18"/>
  <c r="Z200" i="18"/>
  <c r="J237" i="18"/>
  <c r="X17" i="24"/>
  <c r="P12" i="24"/>
  <c r="N114" i="30"/>
  <c r="L114" i="30"/>
  <c r="V24" i="6"/>
  <c r="V26" i="6"/>
  <c r="V28" i="6"/>
  <c r="V29" i="6"/>
  <c r="V31" i="6"/>
  <c r="J15" i="9"/>
  <c r="J17" i="9"/>
  <c r="J19" i="9"/>
  <c r="J21" i="9"/>
  <c r="J25" i="9"/>
  <c r="J29" i="9"/>
  <c r="J43" i="9"/>
  <c r="V49" i="9"/>
  <c r="J53" i="9"/>
  <c r="V57" i="9"/>
  <c r="J61" i="9"/>
  <c r="V65" i="9"/>
  <c r="J69" i="9"/>
  <c r="V77" i="9"/>
  <c r="J81" i="9"/>
  <c r="V89" i="9"/>
  <c r="J93" i="9"/>
  <c r="J105" i="9"/>
  <c r="J85" i="12"/>
  <c r="J89" i="12"/>
  <c r="J93" i="12"/>
  <c r="J97" i="12"/>
  <c r="J101" i="12"/>
  <c r="J105" i="12"/>
  <c r="J109" i="12"/>
  <c r="J113" i="12"/>
  <c r="J117" i="12"/>
  <c r="J121" i="12"/>
  <c r="T124" i="12"/>
  <c r="V141" i="12"/>
  <c r="V145" i="12"/>
  <c r="J157" i="12"/>
  <c r="V158" i="12"/>
  <c r="J163" i="12"/>
  <c r="J175" i="12"/>
  <c r="V183" i="12"/>
  <c r="J185" i="12"/>
  <c r="V188" i="12"/>
  <c r="V192" i="12"/>
  <c r="J200" i="12"/>
  <c r="V211" i="12"/>
  <c r="V236" i="12"/>
  <c r="Z150" i="15"/>
  <c r="Z152" i="15"/>
  <c r="Z158" i="15"/>
  <c r="N168" i="15"/>
  <c r="L218" i="15"/>
  <c r="N218" i="15" s="1"/>
  <c r="J249" i="18"/>
  <c r="J222" i="18"/>
  <c r="J216" i="18"/>
  <c r="J196" i="18"/>
  <c r="J180" i="18"/>
  <c r="J172" i="18"/>
  <c r="J156" i="18"/>
  <c r="J152" i="18"/>
  <c r="J148" i="18"/>
  <c r="J239" i="18"/>
  <c r="J231" i="18"/>
  <c r="J227" i="18"/>
  <c r="J223" i="18"/>
  <c r="J211" i="18"/>
  <c r="J197" i="18"/>
  <c r="J181" i="18"/>
  <c r="J173" i="18"/>
  <c r="J157" i="18"/>
  <c r="J139" i="18"/>
  <c r="J135" i="18"/>
  <c r="J131" i="18"/>
  <c r="J127" i="18"/>
  <c r="J123" i="18"/>
  <c r="J119" i="18"/>
  <c r="J115" i="18"/>
  <c r="J111" i="18"/>
  <c r="J107" i="18"/>
  <c r="J103" i="18"/>
  <c r="J99" i="18"/>
  <c r="J95" i="18"/>
  <c r="J232" i="18"/>
  <c r="J206" i="18"/>
  <c r="J198" i="18"/>
  <c r="J190" i="18"/>
  <c r="J182" i="18"/>
  <c r="J174" i="18"/>
  <c r="J166" i="18"/>
  <c r="J162" i="18"/>
  <c r="J158" i="18"/>
  <c r="J253" i="18"/>
  <c r="J233" i="18"/>
  <c r="J217" i="18"/>
  <c r="J191" i="18"/>
  <c r="J175" i="18"/>
  <c r="J153" i="18"/>
  <c r="J149" i="18"/>
  <c r="J240" i="18"/>
  <c r="J228" i="18"/>
  <c r="J224" i="18"/>
  <c r="J212" i="18"/>
  <c r="J192" i="18"/>
  <c r="J176" i="18"/>
  <c r="J140" i="18"/>
  <c r="J136" i="18"/>
  <c r="J132" i="18"/>
  <c r="J128" i="18"/>
  <c r="J124" i="18"/>
  <c r="J120" i="18"/>
  <c r="J116" i="18"/>
  <c r="J112" i="18"/>
  <c r="J108" i="18"/>
  <c r="J104" i="18"/>
  <c r="J100" i="18"/>
  <c r="J96" i="18"/>
  <c r="J241" i="18"/>
  <c r="J207" i="18"/>
  <c r="J199" i="18"/>
  <c r="J183" i="18"/>
  <c r="J167" i="18"/>
  <c r="J163" i="18"/>
  <c r="J159" i="18"/>
  <c r="J242" i="18"/>
  <c r="J234" i="18"/>
  <c r="J218" i="18"/>
  <c r="J200" i="18"/>
  <c r="J184" i="18"/>
  <c r="J168" i="18"/>
  <c r="J154" i="18"/>
  <c r="J150" i="18"/>
  <c r="J235" i="18"/>
  <c r="J229" i="18"/>
  <c r="J225" i="18"/>
  <c r="J219" i="18"/>
  <c r="J213" i="18"/>
  <c r="J201" i="18"/>
  <c r="J193" i="18"/>
  <c r="J185" i="18"/>
  <c r="J177" i="18"/>
  <c r="J169" i="18"/>
  <c r="J141" i="18"/>
  <c r="J137" i="18"/>
  <c r="J133" i="18"/>
  <c r="J129" i="18"/>
  <c r="J125" i="18"/>
  <c r="J121" i="18"/>
  <c r="J117" i="18"/>
  <c r="J113" i="18"/>
  <c r="J109" i="18"/>
  <c r="J105" i="18"/>
  <c r="J101" i="18"/>
  <c r="J97" i="18"/>
  <c r="J247" i="18"/>
  <c r="J238" i="18"/>
  <c r="J230" i="18"/>
  <c r="J226" i="18"/>
  <c r="J210" i="18"/>
  <c r="J204" i="18"/>
  <c r="J194" i="18"/>
  <c r="J188" i="18"/>
  <c r="H143" i="18"/>
  <c r="J138" i="18"/>
  <c r="J134" i="18"/>
  <c r="J130" i="18"/>
  <c r="J126" i="18"/>
  <c r="J122" i="18"/>
  <c r="J118" i="18"/>
  <c r="J114" i="18"/>
  <c r="J110" i="18"/>
  <c r="J106" i="18"/>
  <c r="J102" i="18"/>
  <c r="J98" i="18"/>
  <c r="J94" i="18"/>
  <c r="J161" i="18"/>
  <c r="J178" i="18"/>
  <c r="Z184" i="18"/>
  <c r="V125" i="39"/>
  <c r="V115" i="39"/>
  <c r="V107" i="39"/>
  <c r="V103" i="39"/>
  <c r="V129" i="39"/>
  <c r="V95" i="39"/>
  <c r="V117" i="39"/>
  <c r="V105" i="39"/>
  <c r="V101" i="39"/>
  <c r="V122" i="39"/>
  <c r="V114" i="39"/>
  <c r="V91" i="39"/>
  <c r="V86" i="39"/>
  <c r="V70" i="39"/>
  <c r="V62" i="39"/>
  <c r="V116" i="39"/>
  <c r="V102" i="39"/>
  <c r="V97" i="39"/>
  <c r="V81" i="39"/>
  <c r="V53" i="39"/>
  <c r="V49" i="39"/>
  <c r="V45" i="39"/>
  <c r="V119" i="39"/>
  <c r="V110" i="39"/>
  <c r="V96" i="39"/>
  <c r="V88" i="39"/>
  <c r="V72" i="39"/>
  <c r="V40" i="39"/>
  <c r="V36" i="39"/>
  <c r="V92" i="39"/>
  <c r="V82" i="39"/>
  <c r="V74" i="39"/>
  <c r="V54" i="39"/>
  <c r="V50" i="39"/>
  <c r="V46" i="39"/>
  <c r="V108" i="39"/>
  <c r="V73" i="39"/>
  <c r="V65" i="39"/>
  <c r="V57" i="39"/>
  <c r="V41" i="39"/>
  <c r="V37" i="39"/>
  <c r="V124" i="39"/>
  <c r="V121" i="39"/>
  <c r="V118" i="39"/>
  <c r="V98" i="39"/>
  <c r="V109" i="39"/>
  <c r="V106" i="39"/>
  <c r="V94" i="39"/>
  <c r="V83" i="39"/>
  <c r="V75" i="39"/>
  <c r="V67" i="39"/>
  <c r="V59" i="39"/>
  <c r="V51" i="39"/>
  <c r="V47" i="39"/>
  <c r="V84" i="39"/>
  <c r="V80" i="39"/>
  <c r="V68" i="39"/>
  <c r="V60" i="39"/>
  <c r="V52" i="39"/>
  <c r="V48" i="39"/>
  <c r="V44" i="39"/>
  <c r="V112" i="39"/>
  <c r="V104" i="39"/>
  <c r="V99" i="39"/>
  <c r="V79" i="39"/>
  <c r="V43" i="39"/>
  <c r="V39" i="39"/>
  <c r="V35" i="39"/>
  <c r="V34" i="39"/>
  <c r="V28" i="39"/>
  <c r="V58" i="39"/>
  <c r="V123" i="39"/>
  <c r="V100" i="39"/>
  <c r="V85" i="39"/>
  <c r="V61" i="39"/>
  <c r="V56" i="39"/>
  <c r="V89" i="39"/>
  <c r="V111" i="39"/>
  <c r="V87" i="39"/>
  <c r="V63" i="39"/>
  <c r="V42" i="39"/>
  <c r="V29" i="39"/>
  <c r="V26" i="39"/>
  <c r="V113" i="39"/>
  <c r="V77" i="39"/>
  <c r="V55" i="39"/>
  <c r="V31" i="39"/>
  <c r="V93" i="39"/>
  <c r="T31" i="39"/>
  <c r="V71" i="39"/>
  <c r="V69" i="39"/>
  <c r="V66" i="39"/>
  <c r="V27" i="39"/>
  <c r="V33" i="39"/>
  <c r="V76" i="39"/>
  <c r="V78" i="39"/>
  <c r="V64" i="39"/>
  <c r="V90" i="39"/>
  <c r="V38" i="39"/>
  <c r="L12" i="6"/>
  <c r="Z12" i="9"/>
  <c r="J20" i="9"/>
  <c r="V22" i="9"/>
  <c r="V26" i="9"/>
  <c r="V30" i="9"/>
  <c r="J34" i="9"/>
  <c r="J38" i="9"/>
  <c r="J42" i="9"/>
  <c r="V46" i="9"/>
  <c r="J52" i="9"/>
  <c r="V54" i="9"/>
  <c r="V70" i="9"/>
  <c r="J74" i="9"/>
  <c r="J80" i="9"/>
  <c r="V82" i="9"/>
  <c r="J86" i="9"/>
  <c r="J92" i="9"/>
  <c r="V82" i="12"/>
  <c r="V86" i="12"/>
  <c r="V90" i="12"/>
  <c r="V94" i="12"/>
  <c r="V98" i="12"/>
  <c r="V102" i="12"/>
  <c r="V106" i="12"/>
  <c r="V110" i="12"/>
  <c r="V114" i="12"/>
  <c r="V118" i="12"/>
  <c r="V122" i="12"/>
  <c r="V124" i="12"/>
  <c r="V126" i="12"/>
  <c r="J130" i="12"/>
  <c r="J134" i="12"/>
  <c r="V150" i="12"/>
  <c r="J156" i="12"/>
  <c r="J160" i="12"/>
  <c r="J168" i="12"/>
  <c r="V171" i="12"/>
  <c r="J180" i="12"/>
  <c r="L221" i="12"/>
  <c r="T227" i="15"/>
  <c r="Z179" i="15"/>
  <c r="X179" i="15"/>
  <c r="J147" i="18"/>
  <c r="J220" i="18"/>
  <c r="N222" i="18"/>
  <c r="H169" i="30"/>
  <c r="V35" i="9"/>
  <c r="V39" i="9"/>
  <c r="V47" i="9"/>
  <c r="J51" i="9"/>
  <c r="V55" i="9"/>
  <c r="V63" i="9"/>
  <c r="V75" i="9"/>
  <c r="J79" i="9"/>
  <c r="V83" i="9"/>
  <c r="V87" i="9"/>
  <c r="J91" i="9"/>
  <c r="V95" i="9"/>
  <c r="D98" i="9"/>
  <c r="L98" i="9" s="1"/>
  <c r="J103" i="9"/>
  <c r="V127" i="12"/>
  <c r="V131" i="12"/>
  <c r="V135" i="12"/>
  <c r="J139" i="12"/>
  <c r="J143" i="12"/>
  <c r="J147" i="12"/>
  <c r="V151" i="12"/>
  <c r="J155" i="12"/>
  <c r="V166" i="12"/>
  <c r="J191" i="12"/>
  <c r="N221" i="12"/>
  <c r="J231" i="12"/>
  <c r="L170" i="18"/>
  <c r="J187" i="18"/>
  <c r="J189" i="18"/>
  <c r="J203" i="18"/>
  <c r="J205" i="18"/>
  <c r="J209" i="18"/>
  <c r="L214" i="18"/>
  <c r="J60" i="9"/>
  <c r="J68" i="9"/>
  <c r="J101" i="9"/>
  <c r="V219" i="12"/>
  <c r="V203" i="12"/>
  <c r="V191" i="12"/>
  <c r="V187" i="12"/>
  <c r="V175" i="12"/>
  <c r="V228" i="12"/>
  <c r="V226" i="12"/>
  <c r="V218" i="12"/>
  <c r="V202" i="12"/>
  <c r="V198" i="12"/>
  <c r="V186" i="12"/>
  <c r="V178" i="12"/>
  <c r="V170" i="12"/>
  <c r="V162" i="12"/>
  <c r="V229" i="12"/>
  <c r="V221" i="12"/>
  <c r="V213" i="12"/>
  <c r="V209" i="12"/>
  <c r="V193" i="12"/>
  <c r="V177" i="12"/>
  <c r="V161" i="12"/>
  <c r="V232" i="12"/>
  <c r="V222" i="12"/>
  <c r="V214" i="12"/>
  <c r="V210" i="12"/>
  <c r="V206" i="12"/>
  <c r="V194" i="12"/>
  <c r="V205" i="12"/>
  <c r="V189" i="12"/>
  <c r="V181" i="12"/>
  <c r="V173" i="12"/>
  <c r="V165" i="12"/>
  <c r="V216" i="12"/>
  <c r="V200" i="12"/>
  <c r="V164" i="12"/>
  <c r="V225" i="12"/>
  <c r="V217" i="12"/>
  <c r="V201" i="12"/>
  <c r="V197" i="12"/>
  <c r="V185" i="12"/>
  <c r="V169" i="12"/>
  <c r="V140" i="12"/>
  <c r="V144" i="12"/>
  <c r="V148" i="12"/>
  <c r="V168" i="12"/>
  <c r="V182" i="12"/>
  <c r="V195" i="12"/>
  <c r="Z219" i="12"/>
  <c r="X123" i="15"/>
  <c r="Z123" i="15" s="1"/>
  <c r="N170" i="18"/>
  <c r="N214" i="18"/>
  <c r="J236" i="18"/>
  <c r="N112" i="30"/>
  <c r="V14" i="6"/>
  <c r="V16" i="6"/>
  <c r="V18" i="6"/>
  <c r="V20" i="6"/>
  <c r="V22" i="6"/>
  <c r="F26" i="6"/>
  <c r="F28" i="6"/>
  <c r="F29" i="6"/>
  <c r="V21" i="9"/>
  <c r="V25" i="9"/>
  <c r="V29" i="9"/>
  <c r="J33" i="9"/>
  <c r="J37" i="9"/>
  <c r="J41" i="9"/>
  <c r="V45" i="9"/>
  <c r="V53" i="9"/>
  <c r="J59" i="9"/>
  <c r="V61" i="9"/>
  <c r="J67" i="9"/>
  <c r="V69" i="9"/>
  <c r="J73" i="9"/>
  <c r="V81" i="9"/>
  <c r="J85" i="9"/>
  <c r="V93" i="9"/>
  <c r="J100" i="9"/>
  <c r="V105" i="9"/>
  <c r="V107" i="9"/>
  <c r="V110" i="9"/>
  <c r="V81" i="12"/>
  <c r="V85" i="12"/>
  <c r="V89" i="12"/>
  <c r="V93" i="12"/>
  <c r="V97" i="12"/>
  <c r="V101" i="12"/>
  <c r="V105" i="12"/>
  <c r="V109" i="12"/>
  <c r="V113" i="12"/>
  <c r="V117" i="12"/>
  <c r="V121" i="12"/>
  <c r="J129" i="12"/>
  <c r="J133" i="12"/>
  <c r="J137" i="12"/>
  <c r="V149" i="12"/>
  <c r="J153" i="12"/>
  <c r="V157" i="12"/>
  <c r="V160" i="12"/>
  <c r="V163" i="12"/>
  <c r="Z180" i="12"/>
  <c r="X185" i="12"/>
  <c r="Z185" i="12" s="1"/>
  <c r="J197" i="12"/>
  <c r="J212" i="12"/>
  <c r="J214" i="12"/>
  <c r="X221" i="12"/>
  <c r="Z221" i="12" s="1"/>
  <c r="V223" i="12"/>
  <c r="J225" i="12"/>
  <c r="N228" i="12"/>
  <c r="Z174" i="15"/>
  <c r="N186" i="15"/>
  <c r="X214" i="15"/>
  <c r="Z214" i="15" s="1"/>
  <c r="Z221" i="15"/>
  <c r="J155" i="18"/>
  <c r="J170" i="18"/>
  <c r="J179" i="18"/>
  <c r="J214" i="18"/>
  <c r="J32" i="9"/>
  <c r="X45" i="9"/>
  <c r="Z45" i="9" s="1"/>
  <c r="J50" i="9"/>
  <c r="J58" i="9"/>
  <c r="L59" i="9"/>
  <c r="N59" i="9" s="1"/>
  <c r="J66" i="9"/>
  <c r="L67" i="9"/>
  <c r="N67" i="9" s="1"/>
  <c r="J72" i="9"/>
  <c r="J78" i="9"/>
  <c r="J90" i="9"/>
  <c r="J98" i="9"/>
  <c r="J99" i="9"/>
  <c r="X81" i="12"/>
  <c r="V130" i="12"/>
  <c r="V134" i="12"/>
  <c r="X149" i="12"/>
  <c r="Z149" i="12" s="1"/>
  <c r="N159" i="12"/>
  <c r="L167" i="12"/>
  <c r="N167" i="12" s="1"/>
  <c r="V180" i="12"/>
  <c r="J230" i="12"/>
  <c r="N122" i="15"/>
  <c r="X223" i="15"/>
  <c r="Z223" i="15" s="1"/>
  <c r="P12" i="18"/>
  <c r="N244" i="18"/>
  <c r="T55" i="27"/>
  <c r="X37" i="27"/>
  <c r="Z37" i="27" s="1"/>
  <c r="Z68" i="33"/>
  <c r="X68" i="33"/>
  <c r="J26" i="6"/>
  <c r="J28" i="6"/>
  <c r="J29" i="6"/>
  <c r="V15" i="9"/>
  <c r="V17" i="9"/>
  <c r="V19" i="9"/>
  <c r="J23" i="9"/>
  <c r="J27" i="9"/>
  <c r="J31" i="9"/>
  <c r="V43" i="9"/>
  <c r="J49" i="9"/>
  <c r="V51" i="9"/>
  <c r="J57" i="9"/>
  <c r="J71" i="9"/>
  <c r="J77" i="9"/>
  <c r="V79" i="9"/>
  <c r="J111" i="12"/>
  <c r="J115" i="12"/>
  <c r="J119" i="12"/>
  <c r="H124" i="12"/>
  <c r="V139" i="12"/>
  <c r="V143" i="12"/>
  <c r="V147" i="12"/>
  <c r="V155" i="12"/>
  <c r="V184" i="12"/>
  <c r="V204" i="12"/>
  <c r="J208" i="12"/>
  <c r="V231" i="12"/>
  <c r="X122" i="15"/>
  <c r="Z122" i="15" s="1"/>
  <c r="Z134" i="15"/>
  <c r="Z186" i="15"/>
  <c r="V214" i="15"/>
  <c r="X13" i="18"/>
  <c r="Z13" i="18" s="1"/>
  <c r="Z157" i="18"/>
  <c r="X157" i="18"/>
  <c r="J160" i="18"/>
  <c r="Z170" i="18"/>
  <c r="N175" i="18"/>
  <c r="X197" i="18"/>
  <c r="Z197" i="18" s="1"/>
  <c r="Z232" i="18"/>
  <c r="J244" i="18"/>
  <c r="J246" i="18"/>
  <c r="Z30" i="21"/>
  <c r="V124" i="15"/>
  <c r="V128" i="15"/>
  <c r="V132" i="15"/>
  <c r="J136" i="15"/>
  <c r="J140" i="15"/>
  <c r="J144" i="15"/>
  <c r="V148" i="15"/>
  <c r="V156" i="15"/>
  <c r="J160" i="15"/>
  <c r="V164" i="15"/>
  <c r="V172" i="15"/>
  <c r="J176" i="15"/>
  <c r="V180" i="15"/>
  <c r="J184" i="15"/>
  <c r="V192" i="15"/>
  <c r="J218" i="15"/>
  <c r="V224" i="15"/>
  <c r="V158" i="18"/>
  <c r="V162" i="18"/>
  <c r="V166" i="18"/>
  <c r="V174" i="18"/>
  <c r="V182" i="18"/>
  <c r="V190" i="18"/>
  <c r="V198" i="18"/>
  <c r="V206" i="18"/>
  <c r="X55" i="21"/>
  <c r="Z55" i="21" s="1"/>
  <c r="Z74" i="21"/>
  <c r="Z89" i="21"/>
  <c r="X89" i="21"/>
  <c r="Z40" i="24"/>
  <c r="N69" i="27"/>
  <c r="N115" i="27"/>
  <c r="V123" i="15"/>
  <c r="V127" i="15"/>
  <c r="V131" i="15"/>
  <c r="J135" i="15"/>
  <c r="J139" i="15"/>
  <c r="J143" i="15"/>
  <c r="V147" i="15"/>
  <c r="J151" i="15"/>
  <c r="V155" i="15"/>
  <c r="J159" i="15"/>
  <c r="V163" i="15"/>
  <c r="J167" i="15"/>
  <c r="J175" i="15"/>
  <c r="V179" i="15"/>
  <c r="J183" i="15"/>
  <c r="V191" i="15"/>
  <c r="V195" i="15"/>
  <c r="J209" i="15"/>
  <c r="V211" i="15"/>
  <c r="V219" i="15"/>
  <c r="V221" i="15"/>
  <c r="J229" i="15"/>
  <c r="V157" i="18"/>
  <c r="V161" i="18"/>
  <c r="V165" i="18"/>
  <c r="V173" i="18"/>
  <c r="V181" i="18"/>
  <c r="V189" i="18"/>
  <c r="V197" i="18"/>
  <c r="V205" i="18"/>
  <c r="V221" i="18"/>
  <c r="V249" i="18"/>
  <c r="N68" i="21"/>
  <c r="N87" i="27"/>
  <c r="N95" i="27"/>
  <c r="N81" i="30"/>
  <c r="J80" i="15"/>
  <c r="J84" i="15"/>
  <c r="J88" i="15"/>
  <c r="J92" i="15"/>
  <c r="J96" i="15"/>
  <c r="J100" i="15"/>
  <c r="J104" i="15"/>
  <c r="J108" i="15"/>
  <c r="J112" i="15"/>
  <c r="J116" i="15"/>
  <c r="J134" i="15"/>
  <c r="V136" i="15"/>
  <c r="V140" i="15"/>
  <c r="V144" i="15"/>
  <c r="J150" i="15"/>
  <c r="J158" i="15"/>
  <c r="V160" i="15"/>
  <c r="J174" i="15"/>
  <c r="V176" i="15"/>
  <c r="V184" i="15"/>
  <c r="J188" i="15"/>
  <c r="V196" i="15"/>
  <c r="J200" i="15"/>
  <c r="J204" i="15"/>
  <c r="J208" i="15"/>
  <c r="V212" i="15"/>
  <c r="J216" i="15"/>
  <c r="H227" i="15"/>
  <c r="V94" i="18"/>
  <c r="V98" i="18"/>
  <c r="V102" i="18"/>
  <c r="V106" i="18"/>
  <c r="V110" i="18"/>
  <c r="V114" i="18"/>
  <c r="V118" i="18"/>
  <c r="V122" i="18"/>
  <c r="V126" i="18"/>
  <c r="V130" i="18"/>
  <c r="V134" i="18"/>
  <c r="V138" i="18"/>
  <c r="V194" i="18"/>
  <c r="V210" i="18"/>
  <c r="V222" i="18"/>
  <c r="V226" i="18"/>
  <c r="V230" i="18"/>
  <c r="V238" i="18"/>
  <c r="V248" i="18"/>
  <c r="P12" i="21"/>
  <c r="X13" i="21"/>
  <c r="Z13" i="21" s="1"/>
  <c r="L51" i="21"/>
  <c r="N51" i="21" s="1"/>
  <c r="Z57" i="21"/>
  <c r="D12" i="24"/>
  <c r="L14" i="24"/>
  <c r="J66" i="24"/>
  <c r="X80" i="24"/>
  <c r="Z80" i="24" s="1"/>
  <c r="X57" i="27"/>
  <c r="Z57" i="27" s="1"/>
  <c r="Z82" i="27"/>
  <c r="N85" i="27"/>
  <c r="L87" i="27"/>
  <c r="L95" i="27"/>
  <c r="J79" i="15"/>
  <c r="V81" i="15"/>
  <c r="V85" i="15"/>
  <c r="V89" i="15"/>
  <c r="V93" i="15"/>
  <c r="V97" i="15"/>
  <c r="V101" i="15"/>
  <c r="V105" i="15"/>
  <c r="V109" i="15"/>
  <c r="V113" i="15"/>
  <c r="V117" i="15"/>
  <c r="J125" i="15"/>
  <c r="J129" i="15"/>
  <c r="J133" i="15"/>
  <c r="V145" i="15"/>
  <c r="J149" i="15"/>
  <c r="V153" i="15"/>
  <c r="J157" i="15"/>
  <c r="V161" i="15"/>
  <c r="V169" i="15"/>
  <c r="J173" i="15"/>
  <c r="V177" i="15"/>
  <c r="V189" i="15"/>
  <c r="J193" i="15"/>
  <c r="J199" i="15"/>
  <c r="V201" i="15"/>
  <c r="V205" i="15"/>
  <c r="V217" i="15"/>
  <c r="J227" i="15"/>
  <c r="V147" i="18"/>
  <c r="V151" i="18"/>
  <c r="V155" i="18"/>
  <c r="V171" i="18"/>
  <c r="V179" i="18"/>
  <c r="V187" i="18"/>
  <c r="V195" i="18"/>
  <c r="V203" i="18"/>
  <c r="V215" i="18"/>
  <c r="V247" i="18"/>
  <c r="Z29" i="21"/>
  <c r="X57" i="21"/>
  <c r="Z68" i="21"/>
  <c r="N62" i="24"/>
  <c r="L66" i="24"/>
  <c r="N66" i="24" s="1"/>
  <c r="X106" i="30"/>
  <c r="Z106" i="30" s="1"/>
  <c r="T143" i="18"/>
  <c r="V160" i="18"/>
  <c r="V164" i="18"/>
  <c r="V188" i="18"/>
  <c r="V204" i="18"/>
  <c r="V208" i="18"/>
  <c r="V220" i="18"/>
  <c r="V236" i="18"/>
  <c r="V246" i="18"/>
  <c r="N79" i="21"/>
  <c r="L79" i="21"/>
  <c r="X165" i="30"/>
  <c r="Z165" i="30" s="1"/>
  <c r="P164" i="30"/>
  <c r="X164" i="30" s="1"/>
  <c r="Z164" i="30" s="1"/>
  <c r="J165" i="15"/>
  <c r="J181" i="15"/>
  <c r="V183" i="15"/>
  <c r="J187" i="15"/>
  <c r="J203" i="15"/>
  <c r="J207" i="15"/>
  <c r="J215" i="15"/>
  <c r="J224" i="15"/>
  <c r="V229" i="15"/>
  <c r="V93" i="18"/>
  <c r="V97" i="18"/>
  <c r="V101" i="18"/>
  <c r="V105" i="18"/>
  <c r="V109" i="18"/>
  <c r="V113" i="18"/>
  <c r="V117" i="18"/>
  <c r="V121" i="18"/>
  <c r="V125" i="18"/>
  <c r="V129" i="18"/>
  <c r="V133" i="18"/>
  <c r="V137" i="18"/>
  <c r="V141" i="18"/>
  <c r="V143" i="18"/>
  <c r="V145" i="18"/>
  <c r="V169" i="18"/>
  <c r="V177" i="18"/>
  <c r="V185" i="18"/>
  <c r="V193" i="18"/>
  <c r="V201" i="18"/>
  <c r="V209" i="18"/>
  <c r="V213" i="18"/>
  <c r="V225" i="18"/>
  <c r="V229" i="18"/>
  <c r="V237" i="18"/>
  <c r="V245" i="18"/>
  <c r="X70" i="21"/>
  <c r="Z70" i="21" s="1"/>
  <c r="Z100" i="21"/>
  <c r="Z68" i="24"/>
  <c r="L52" i="30"/>
  <c r="N52" i="30" s="1"/>
  <c r="N80" i="30"/>
  <c r="V80" i="15"/>
  <c r="V84" i="15"/>
  <c r="V88" i="15"/>
  <c r="V92" i="15"/>
  <c r="V96" i="15"/>
  <c r="V100" i="15"/>
  <c r="V104" i="15"/>
  <c r="V108" i="15"/>
  <c r="V112" i="15"/>
  <c r="V116" i="15"/>
  <c r="J120" i="15"/>
  <c r="J122" i="15"/>
  <c r="J124" i="15"/>
  <c r="J128" i="15"/>
  <c r="J132" i="15"/>
  <c r="J148" i="15"/>
  <c r="V152" i="15"/>
  <c r="J156" i="15"/>
  <c r="J164" i="15"/>
  <c r="V168" i="15"/>
  <c r="J180" i="15"/>
  <c r="J186" i="15"/>
  <c r="V188" i="15"/>
  <c r="J192" i="15"/>
  <c r="V200" i="15"/>
  <c r="V204" i="15"/>
  <c r="V208" i="15"/>
  <c r="J214" i="15"/>
  <c r="V216" i="15"/>
  <c r="J223" i="15"/>
  <c r="V146" i="18"/>
  <c r="V150" i="18"/>
  <c r="V154" i="18"/>
  <c r="V170" i="18"/>
  <c r="V178" i="18"/>
  <c r="V186" i="18"/>
  <c r="V202" i="18"/>
  <c r="V214" i="18"/>
  <c r="V218" i="18"/>
  <c r="V234" i="18"/>
  <c r="V242" i="18"/>
  <c r="V244" i="18"/>
  <c r="X22" i="21"/>
  <c r="Z22" i="21" s="1"/>
  <c r="L74" i="21"/>
  <c r="N74" i="21" s="1"/>
  <c r="N104" i="21"/>
  <c r="L88" i="24"/>
  <c r="N88" i="24" s="1"/>
  <c r="N107" i="27"/>
  <c r="P12" i="30"/>
  <c r="X13" i="30"/>
  <c r="Z13" i="30" s="1"/>
  <c r="L80" i="30"/>
  <c r="J123" i="15"/>
  <c r="V125" i="15"/>
  <c r="V129" i="15"/>
  <c r="V133" i="15"/>
  <c r="J137" i="15"/>
  <c r="J141" i="15"/>
  <c r="J147" i="15"/>
  <c r="V149" i="15"/>
  <c r="J155" i="15"/>
  <c r="V157" i="15"/>
  <c r="J163" i="15"/>
  <c r="V173" i="15"/>
  <c r="J179" i="15"/>
  <c r="J185" i="15"/>
  <c r="J191" i="15"/>
  <c r="V193" i="15"/>
  <c r="J197" i="15"/>
  <c r="V209" i="15"/>
  <c r="J213" i="15"/>
  <c r="J221" i="15"/>
  <c r="J222" i="15"/>
  <c r="V159" i="18"/>
  <c r="V163" i="18"/>
  <c r="V167" i="18"/>
  <c r="X170" i="18"/>
  <c r="X178" i="18"/>
  <c r="Z178" i="18" s="1"/>
  <c r="V183" i="18"/>
  <c r="X186" i="18"/>
  <c r="Z186" i="18" s="1"/>
  <c r="V199" i="18"/>
  <c r="X202" i="18"/>
  <c r="Z202" i="18" s="1"/>
  <c r="V207" i="18"/>
  <c r="X214" i="18"/>
  <c r="Z214" i="18" s="1"/>
  <c r="V219" i="18"/>
  <c r="L232" i="18"/>
  <c r="N232" i="18" s="1"/>
  <c r="V235" i="18"/>
  <c r="D12" i="21"/>
  <c r="X161" i="30"/>
  <c r="Z161" i="30" s="1"/>
  <c r="J82" i="15"/>
  <c r="J86" i="15"/>
  <c r="J90" i="15"/>
  <c r="J94" i="15"/>
  <c r="J98" i="15"/>
  <c r="J102" i="15"/>
  <c r="J106" i="15"/>
  <c r="J110" i="15"/>
  <c r="J114" i="15"/>
  <c r="J118" i="15"/>
  <c r="V134" i="15"/>
  <c r="V138" i="15"/>
  <c r="V142" i="15"/>
  <c r="J146" i="15"/>
  <c r="V150" i="15"/>
  <c r="J154" i="15"/>
  <c r="V158" i="15"/>
  <c r="J162" i="15"/>
  <c r="V166" i="15"/>
  <c r="J170" i="15"/>
  <c r="V174" i="15"/>
  <c r="J178" i="15"/>
  <c r="V182" i="15"/>
  <c r="J190" i="15"/>
  <c r="J196" i="15"/>
  <c r="J202" i="15"/>
  <c r="J206" i="15"/>
  <c r="V96" i="18"/>
  <c r="V100" i="18"/>
  <c r="V104" i="18"/>
  <c r="V108" i="18"/>
  <c r="V112" i="18"/>
  <c r="V116" i="18"/>
  <c r="V120" i="18"/>
  <c r="V124" i="18"/>
  <c r="V128" i="18"/>
  <c r="V132" i="18"/>
  <c r="V136" i="18"/>
  <c r="V140" i="18"/>
  <c r="V168" i="18"/>
  <c r="V176" i="18"/>
  <c r="V184" i="18"/>
  <c r="V192" i="18"/>
  <c r="V200" i="18"/>
  <c r="V212" i="18"/>
  <c r="V224" i="18"/>
  <c r="V228" i="18"/>
  <c r="Z53" i="21"/>
  <c r="L62" i="21"/>
  <c r="N62" i="21" s="1"/>
  <c r="J74" i="21"/>
  <c r="Z28" i="24"/>
  <c r="J34" i="21"/>
  <c r="J38" i="21"/>
  <c r="J54" i="21"/>
  <c r="J64" i="21"/>
  <c r="J86" i="21"/>
  <c r="J98" i="21"/>
  <c r="J76" i="24"/>
  <c r="V80" i="24"/>
  <c r="J84" i="24"/>
  <c r="V92" i="24"/>
  <c r="V94" i="24"/>
  <c r="V37" i="27"/>
  <c r="V41" i="27"/>
  <c r="V45" i="27"/>
  <c r="V49" i="27"/>
  <c r="V53" i="27"/>
  <c r="V57" i="27"/>
  <c r="J65" i="27"/>
  <c r="V81" i="27"/>
  <c r="J87" i="27"/>
  <c r="J95" i="27"/>
  <c r="J103" i="27"/>
  <c r="V105" i="27"/>
  <c r="J109" i="27"/>
  <c r="V113" i="27"/>
  <c r="V115" i="27"/>
  <c r="J162" i="30"/>
  <c r="J154" i="30"/>
  <c r="J144" i="30"/>
  <c r="J138" i="30"/>
  <c r="J104" i="30"/>
  <c r="J98" i="30"/>
  <c r="J149" i="30"/>
  <c r="J145" i="30"/>
  <c r="J165" i="30"/>
  <c r="J164" i="30"/>
  <c r="J132" i="30"/>
  <c r="J124" i="30"/>
  <c r="J116" i="30"/>
  <c r="J106" i="30"/>
  <c r="J167" i="30"/>
  <c r="J156" i="30"/>
  <c r="J150" i="30"/>
  <c r="J146" i="30"/>
  <c r="J134" i="30"/>
  <c r="J126" i="30"/>
  <c r="J118" i="30"/>
  <c r="J169" i="30"/>
  <c r="J157" i="30"/>
  <c r="J127" i="30"/>
  <c r="J109" i="30"/>
  <c r="J171" i="30"/>
  <c r="J159" i="30"/>
  <c r="J151" i="30"/>
  <c r="J147" i="30"/>
  <c r="J141" i="30"/>
  <c r="J135" i="30"/>
  <c r="J129" i="30"/>
  <c r="J119" i="30"/>
  <c r="J111" i="30"/>
  <c r="J142" i="30"/>
  <c r="J130" i="30"/>
  <c r="J120" i="30"/>
  <c r="J160" i="30"/>
  <c r="J152" i="30"/>
  <c r="J148" i="30"/>
  <c r="J136" i="30"/>
  <c r="J122" i="30"/>
  <c r="J114" i="30"/>
  <c r="J52" i="30"/>
  <c r="V54" i="30"/>
  <c r="V58" i="30"/>
  <c r="V62" i="30"/>
  <c r="V66" i="30"/>
  <c r="V70" i="30"/>
  <c r="V74" i="30"/>
  <c r="J78" i="30"/>
  <c r="J80" i="30"/>
  <c r="J82" i="30"/>
  <c r="J86" i="30"/>
  <c r="J90" i="30"/>
  <c r="J95" i="30"/>
  <c r="V99" i="30"/>
  <c r="J101" i="30"/>
  <c r="J105" i="30"/>
  <c r="J112" i="30"/>
  <c r="J125" i="30"/>
  <c r="V136" i="30"/>
  <c r="V145" i="30"/>
  <c r="H30" i="33"/>
  <c r="N26" i="33"/>
  <c r="J26" i="33"/>
  <c r="V42" i="24"/>
  <c r="V46" i="24"/>
  <c r="V50" i="24"/>
  <c r="J54" i="24"/>
  <c r="J58" i="24"/>
  <c r="J64" i="24"/>
  <c r="J74" i="24"/>
  <c r="V78" i="24"/>
  <c r="J82" i="24"/>
  <c r="J88" i="24"/>
  <c r="V90" i="24"/>
  <c r="J39" i="27"/>
  <c r="J43" i="27"/>
  <c r="J47" i="27"/>
  <c r="J51" i="27"/>
  <c r="J69" i="27"/>
  <c r="V71" i="27"/>
  <c r="V75" i="27"/>
  <c r="V79" i="27"/>
  <c r="J85" i="27"/>
  <c r="V111" i="27"/>
  <c r="N12" i="30"/>
  <c r="J56" i="30"/>
  <c r="J60" i="30"/>
  <c r="J64" i="30"/>
  <c r="J68" i="30"/>
  <c r="J72" i="30"/>
  <c r="J76" i="30"/>
  <c r="V106" i="30"/>
  <c r="V117" i="30"/>
  <c r="V148" i="30"/>
  <c r="J158" i="30"/>
  <c r="V160" i="30"/>
  <c r="V165" i="30"/>
  <c r="V167" i="30"/>
  <c r="Z32" i="33"/>
  <c r="N30" i="36"/>
  <c r="H31" i="39"/>
  <c r="J26" i="39"/>
  <c r="P31" i="39"/>
  <c r="R36" i="39"/>
  <c r="J33" i="21"/>
  <c r="J37" i="21"/>
  <c r="J51" i="21"/>
  <c r="J61" i="21"/>
  <c r="J73" i="21"/>
  <c r="J79" i="21"/>
  <c r="J85" i="21"/>
  <c r="J105" i="21"/>
  <c r="T38" i="24"/>
  <c r="V51" i="24"/>
  <c r="V55" i="24"/>
  <c r="V59" i="24"/>
  <c r="J63" i="24"/>
  <c r="V67" i="24"/>
  <c r="J73" i="24"/>
  <c r="J87" i="24"/>
  <c r="V91" i="24"/>
  <c r="V40" i="27"/>
  <c r="V44" i="27"/>
  <c r="V48" i="27"/>
  <c r="V52" i="27"/>
  <c r="J60" i="27"/>
  <c r="J64" i="27"/>
  <c r="J68" i="27"/>
  <c r="V80" i="27"/>
  <c r="J84" i="27"/>
  <c r="V88" i="27"/>
  <c r="V96" i="27"/>
  <c r="V104" i="27"/>
  <c r="J108" i="27"/>
  <c r="V112" i="27"/>
  <c r="V53" i="30"/>
  <c r="V57" i="30"/>
  <c r="V61" i="30"/>
  <c r="V65" i="30"/>
  <c r="V69" i="30"/>
  <c r="V73" i="30"/>
  <c r="J85" i="30"/>
  <c r="J89" i="30"/>
  <c r="J94" i="30"/>
  <c r="Z102" i="30"/>
  <c r="N108" i="30"/>
  <c r="N122" i="30"/>
  <c r="J153" i="30"/>
  <c r="J155" i="30"/>
  <c r="Z156" i="30"/>
  <c r="X32" i="33"/>
  <c r="N54" i="33"/>
  <c r="L58" i="33"/>
  <c r="L62" i="36"/>
  <c r="N62" i="36" s="1"/>
  <c r="N64" i="36"/>
  <c r="N66" i="36"/>
  <c r="N74" i="36"/>
  <c r="L76" i="36"/>
  <c r="N76" i="36" s="1"/>
  <c r="N80" i="36"/>
  <c r="Z88" i="36"/>
  <c r="N109" i="36"/>
  <c r="L26" i="39"/>
  <c r="N26" i="39" s="1"/>
  <c r="Z34" i="39"/>
  <c r="Z57" i="39"/>
  <c r="J104" i="21"/>
  <c r="V61" i="27"/>
  <c r="V65" i="27"/>
  <c r="J73" i="27"/>
  <c r="J77" i="27"/>
  <c r="V89" i="27"/>
  <c r="J93" i="27"/>
  <c r="V97" i="27"/>
  <c r="J101" i="27"/>
  <c r="J107" i="27"/>
  <c r="V109" i="27"/>
  <c r="J118" i="27"/>
  <c r="V158" i="30"/>
  <c r="V150" i="30"/>
  <c r="V146" i="30"/>
  <c r="V134" i="30"/>
  <c r="V126" i="30"/>
  <c r="V118" i="30"/>
  <c r="V110" i="30"/>
  <c r="V157" i="30"/>
  <c r="V141" i="30"/>
  <c r="V129" i="30"/>
  <c r="V109" i="30"/>
  <c r="V140" i="30"/>
  <c r="V128" i="30"/>
  <c r="V120" i="30"/>
  <c r="V112" i="30"/>
  <c r="V100" i="30"/>
  <c r="V96" i="30"/>
  <c r="V92" i="30"/>
  <c r="V142" i="30"/>
  <c r="V130" i="30"/>
  <c r="V122" i="30"/>
  <c r="V161" i="30"/>
  <c r="V153" i="30"/>
  <c r="V137" i="30"/>
  <c r="V121" i="30"/>
  <c r="V113" i="30"/>
  <c r="V143" i="30"/>
  <c r="V131" i="30"/>
  <c r="V123" i="30"/>
  <c r="V115" i="30"/>
  <c r="V103" i="30"/>
  <c r="V164" i="30"/>
  <c r="V162" i="30"/>
  <c r="V154" i="30"/>
  <c r="V138" i="30"/>
  <c r="V166" i="30"/>
  <c r="V156" i="30"/>
  <c r="V132" i="30"/>
  <c r="V124" i="30"/>
  <c r="V116" i="30"/>
  <c r="V108" i="30"/>
  <c r="V82" i="30"/>
  <c r="V86" i="30"/>
  <c r="V90" i="30"/>
  <c r="V95" i="30"/>
  <c r="J97" i="30"/>
  <c r="V98" i="30"/>
  <c r="J100" i="30"/>
  <c r="V101" i="30"/>
  <c r="V102" i="30"/>
  <c r="V105" i="30"/>
  <c r="J108" i="30"/>
  <c r="Z112" i="30"/>
  <c r="X112" i="30"/>
  <c r="V125" i="30"/>
  <c r="V127" i="30"/>
  <c r="V151" i="30"/>
  <c r="P12" i="33"/>
  <c r="X13" i="33"/>
  <c r="Z13" i="33" s="1"/>
  <c r="N58" i="33"/>
  <c r="F117" i="36"/>
  <c r="F105" i="36"/>
  <c r="F101" i="36"/>
  <c r="F77" i="36"/>
  <c r="F76" i="36"/>
  <c r="F65" i="36"/>
  <c r="F64" i="36"/>
  <c r="F57" i="36"/>
  <c r="F56" i="36"/>
  <c r="F49" i="36"/>
  <c r="F45" i="36"/>
  <c r="D27" i="36"/>
  <c r="F96" i="36"/>
  <c r="F84" i="36"/>
  <c r="F40" i="36"/>
  <c r="F36" i="36"/>
  <c r="F32" i="36"/>
  <c r="F119" i="36"/>
  <c r="F118" i="36"/>
  <c r="F111" i="36"/>
  <c r="F91" i="36"/>
  <c r="F79" i="36"/>
  <c r="F78" i="36"/>
  <c r="F67" i="36"/>
  <c r="F66" i="36"/>
  <c r="F59" i="36"/>
  <c r="F58" i="36"/>
  <c r="F23" i="36"/>
  <c r="F22" i="36"/>
  <c r="F106" i="36"/>
  <c r="F102" i="36"/>
  <c r="F98" i="36"/>
  <c r="F97" i="36"/>
  <c r="F86" i="36"/>
  <c r="F85" i="36"/>
  <c r="F50" i="36"/>
  <c r="F46" i="36"/>
  <c r="F42" i="36"/>
  <c r="F41" i="36"/>
  <c r="F122" i="36"/>
  <c r="F113" i="36"/>
  <c r="F112" i="36"/>
  <c r="F81" i="36"/>
  <c r="F80" i="36"/>
  <c r="F69" i="36"/>
  <c r="F68" i="36"/>
  <c r="F37" i="36"/>
  <c r="F33" i="36"/>
  <c r="F123" i="36"/>
  <c r="F121" i="36"/>
  <c r="F92" i="36"/>
  <c r="F60" i="36"/>
  <c r="F24" i="36"/>
  <c r="L12" i="36"/>
  <c r="N12" i="36" s="1"/>
  <c r="F124" i="36"/>
  <c r="F115" i="36"/>
  <c r="F114" i="36"/>
  <c r="F107" i="36"/>
  <c r="F103" i="36"/>
  <c r="F99" i="36"/>
  <c r="F87" i="36"/>
  <c r="F71" i="36"/>
  <c r="F70" i="36"/>
  <c r="F51" i="36"/>
  <c r="F47" i="36"/>
  <c r="F43" i="36"/>
  <c r="F125" i="36"/>
  <c r="F82" i="36"/>
  <c r="F38" i="36"/>
  <c r="F34" i="36"/>
  <c r="F93" i="36"/>
  <c r="F89" i="36"/>
  <c r="F88" i="36"/>
  <c r="F73" i="36"/>
  <c r="F72" i="36"/>
  <c r="F61" i="36"/>
  <c r="F53" i="36"/>
  <c r="F52" i="36"/>
  <c r="F25" i="36"/>
  <c r="F129" i="36"/>
  <c r="F95" i="36"/>
  <c r="F94" i="36"/>
  <c r="F83" i="36"/>
  <c r="F75" i="36"/>
  <c r="F74" i="36"/>
  <c r="F63" i="36"/>
  <c r="F62" i="36"/>
  <c r="F55" i="36"/>
  <c r="F54" i="36"/>
  <c r="F39" i="36"/>
  <c r="F35" i="36"/>
  <c r="F31" i="36"/>
  <c r="F30" i="36"/>
  <c r="F100" i="36"/>
  <c r="R124" i="39"/>
  <c r="R125" i="39"/>
  <c r="R115" i="39"/>
  <c r="R107" i="39"/>
  <c r="R103" i="39"/>
  <c r="R99" i="39"/>
  <c r="R116" i="39"/>
  <c r="R109" i="39"/>
  <c r="R108" i="39"/>
  <c r="R104" i="39"/>
  <c r="R100" i="39"/>
  <c r="R110" i="39"/>
  <c r="R119" i="39"/>
  <c r="R112" i="39"/>
  <c r="R111" i="39"/>
  <c r="R80" i="39"/>
  <c r="R79" i="39"/>
  <c r="R44" i="39"/>
  <c r="R43" i="39"/>
  <c r="R39" i="39"/>
  <c r="R35" i="39"/>
  <c r="R129" i="39"/>
  <c r="R91" i="39"/>
  <c r="R86" i="39"/>
  <c r="R70" i="39"/>
  <c r="R62" i="39"/>
  <c r="R102" i="39"/>
  <c r="R81" i="39"/>
  <c r="R53" i="39"/>
  <c r="R49" i="39"/>
  <c r="R45" i="39"/>
  <c r="R26" i="39"/>
  <c r="R123" i="39"/>
  <c r="R114" i="39"/>
  <c r="R113" i="39"/>
  <c r="R88" i="39"/>
  <c r="R87" i="39"/>
  <c r="R72" i="39"/>
  <c r="R71" i="39"/>
  <c r="R63" i="39"/>
  <c r="R117" i="39"/>
  <c r="R92" i="39"/>
  <c r="R82" i="39"/>
  <c r="R55" i="39"/>
  <c r="R54" i="39"/>
  <c r="R50" i="39"/>
  <c r="R46" i="39"/>
  <c r="R98" i="39"/>
  <c r="R89" i="39"/>
  <c r="R65" i="39"/>
  <c r="R64" i="39"/>
  <c r="R57" i="39"/>
  <c r="R56" i="39"/>
  <c r="R90" i="39"/>
  <c r="R78" i="39"/>
  <c r="R77" i="39"/>
  <c r="R34" i="39"/>
  <c r="R122" i="39"/>
  <c r="R95" i="39"/>
  <c r="R85" i="39"/>
  <c r="R84" i="39"/>
  <c r="R69" i="39"/>
  <c r="R68" i="39"/>
  <c r="R61" i="39"/>
  <c r="R60" i="39"/>
  <c r="R52" i="39"/>
  <c r="R48" i="39"/>
  <c r="R33" i="39"/>
  <c r="R31" i="39"/>
  <c r="X12" i="39"/>
  <c r="Z12" i="39" s="1"/>
  <c r="R41" i="39"/>
  <c r="R96" i="39"/>
  <c r="R67" i="39"/>
  <c r="R28" i="39"/>
  <c r="R121" i="39"/>
  <c r="R105" i="39"/>
  <c r="R58" i="39"/>
  <c r="R83" i="39"/>
  <c r="R97" i="39"/>
  <c r="R75" i="39"/>
  <c r="R59" i="39"/>
  <c r="R37" i="39"/>
  <c r="R42" i="39"/>
  <c r="R29" i="39"/>
  <c r="R40" i="39"/>
  <c r="R73" i="39"/>
  <c r="R101" i="39"/>
  <c r="R51" i="39"/>
  <c r="R38" i="39"/>
  <c r="R27" i="39"/>
  <c r="R47" i="39"/>
  <c r="R93" i="39"/>
  <c r="J23" i="21"/>
  <c r="J59" i="21"/>
  <c r="J71" i="21"/>
  <c r="J91" i="21"/>
  <c r="J95" i="21"/>
  <c r="J103" i="21"/>
  <c r="V41" i="24"/>
  <c r="V45" i="24"/>
  <c r="V49" i="24"/>
  <c r="J53" i="24"/>
  <c r="J57" i="24"/>
  <c r="J61" i="24"/>
  <c r="V65" i="24"/>
  <c r="J71" i="24"/>
  <c r="V77" i="24"/>
  <c r="J81" i="24"/>
  <c r="V89" i="24"/>
  <c r="J38" i="27"/>
  <c r="J42" i="27"/>
  <c r="J46" i="27"/>
  <c r="J50" i="27"/>
  <c r="H55" i="27"/>
  <c r="V70" i="27"/>
  <c r="V74" i="27"/>
  <c r="V78" i="27"/>
  <c r="V86" i="27"/>
  <c r="J92" i="27"/>
  <c r="V94" i="27"/>
  <c r="J100" i="27"/>
  <c r="V102" i="27"/>
  <c r="J106" i="27"/>
  <c r="V110" i="27"/>
  <c r="J117" i="27"/>
  <c r="V122" i="27"/>
  <c r="J55" i="30"/>
  <c r="J59" i="30"/>
  <c r="J63" i="30"/>
  <c r="J67" i="30"/>
  <c r="J71" i="30"/>
  <c r="J75" i="30"/>
  <c r="T78" i="30"/>
  <c r="V78" i="30" s="1"/>
  <c r="V91" i="30"/>
  <c r="Z114" i="30"/>
  <c r="J131" i="30"/>
  <c r="J137" i="30"/>
  <c r="J166" i="30"/>
  <c r="N76" i="33"/>
  <c r="L78" i="33"/>
  <c r="X83" i="33"/>
  <c r="P81" i="33"/>
  <c r="X81" i="33" s="1"/>
  <c r="Z81" i="33" s="1"/>
  <c r="Z74" i="36"/>
  <c r="Z80" i="36"/>
  <c r="N121" i="36"/>
  <c r="R76" i="39"/>
  <c r="J22" i="21"/>
  <c r="J32" i="21"/>
  <c r="J36" i="21"/>
  <c r="J70" i="21"/>
  <c r="J84" i="21"/>
  <c r="J102" i="21"/>
  <c r="J30" i="24"/>
  <c r="J34" i="24"/>
  <c r="V54" i="24"/>
  <c r="V58" i="24"/>
  <c r="V66" i="24"/>
  <c r="J70" i="24"/>
  <c r="V74" i="24"/>
  <c r="J80" i="24"/>
  <c r="V82" i="24"/>
  <c r="J86" i="24"/>
  <c r="J94" i="24"/>
  <c r="P12" i="27"/>
  <c r="J37" i="27"/>
  <c r="V39" i="27"/>
  <c r="V43" i="27"/>
  <c r="V47" i="27"/>
  <c r="V51" i="27"/>
  <c r="J55" i="27"/>
  <c r="J57" i="27"/>
  <c r="J59" i="27"/>
  <c r="J63" i="27"/>
  <c r="J67" i="27"/>
  <c r="J83" i="27"/>
  <c r="V87" i="27"/>
  <c r="J91" i="27"/>
  <c r="V95" i="27"/>
  <c r="J99" i="27"/>
  <c r="V103" i="27"/>
  <c r="J115" i="27"/>
  <c r="J116" i="27"/>
  <c r="V52" i="30"/>
  <c r="V56" i="30"/>
  <c r="V60" i="30"/>
  <c r="V64" i="30"/>
  <c r="V68" i="30"/>
  <c r="V72" i="30"/>
  <c r="V76" i="30"/>
  <c r="V80" i="30"/>
  <c r="J84" i="30"/>
  <c r="J88" i="30"/>
  <c r="J93" i="30"/>
  <c r="J107" i="30"/>
  <c r="V111" i="30"/>
  <c r="J113" i="30"/>
  <c r="V114" i="30"/>
  <c r="Z120" i="30"/>
  <c r="X120" i="30"/>
  <c r="V135" i="30"/>
  <c r="J139" i="30"/>
  <c r="V155" i="30"/>
  <c r="N164" i="30"/>
  <c r="N33" i="33"/>
  <c r="Z54" i="33"/>
  <c r="Z58" i="33"/>
  <c r="F29" i="36"/>
  <c r="L54" i="36"/>
  <c r="N56" i="36"/>
  <c r="Z62" i="36"/>
  <c r="Z72" i="36"/>
  <c r="Z109" i="36"/>
  <c r="F116" i="36"/>
  <c r="R121" i="36"/>
  <c r="R74" i="39"/>
  <c r="V60" i="27"/>
  <c r="V64" i="27"/>
  <c r="V68" i="27"/>
  <c r="V84" i="27"/>
  <c r="V108" i="27"/>
  <c r="V81" i="30"/>
  <c r="V85" i="30"/>
  <c r="V89" i="30"/>
  <c r="V94" i="30"/>
  <c r="J103" i="30"/>
  <c r="J133" i="30"/>
  <c r="V149" i="30"/>
  <c r="J161" i="30"/>
  <c r="T85" i="33"/>
  <c r="X76" i="33"/>
  <c r="Z76" i="33" s="1"/>
  <c r="N54" i="36"/>
  <c r="R106" i="39"/>
  <c r="H27" i="21"/>
  <c r="J40" i="21"/>
  <c r="J58" i="21"/>
  <c r="J68" i="21"/>
  <c r="J90" i="21"/>
  <c r="J94" i="21"/>
  <c r="J100" i="21"/>
  <c r="V44" i="24"/>
  <c r="V48" i="24"/>
  <c r="J52" i="24"/>
  <c r="J56" i="24"/>
  <c r="J60" i="24"/>
  <c r="V64" i="24"/>
  <c r="V72" i="24"/>
  <c r="V88" i="24"/>
  <c r="J92" i="24"/>
  <c r="V98" i="24"/>
  <c r="J41" i="27"/>
  <c r="J45" i="27"/>
  <c r="J49" i="27"/>
  <c r="J53" i="27"/>
  <c r="V69" i="27"/>
  <c r="V73" i="27"/>
  <c r="V77" i="27"/>
  <c r="J81" i="27"/>
  <c r="V85" i="27"/>
  <c r="V93" i="27"/>
  <c r="V101" i="27"/>
  <c r="J105" i="27"/>
  <c r="J113" i="27"/>
  <c r="J54" i="30"/>
  <c r="J58" i="30"/>
  <c r="J62" i="30"/>
  <c r="J66" i="30"/>
  <c r="J70" i="30"/>
  <c r="J74" i="30"/>
  <c r="J96" i="30"/>
  <c r="V97" i="30"/>
  <c r="X108" i="30"/>
  <c r="Z108" i="30" s="1"/>
  <c r="J110" i="30"/>
  <c r="J121" i="30"/>
  <c r="J128" i="30"/>
  <c r="X137" i="30"/>
  <c r="Z137" i="30" s="1"/>
  <c r="V144" i="30"/>
  <c r="V147" i="30"/>
  <c r="Z153" i="30"/>
  <c r="V159" i="30"/>
  <c r="X60" i="33"/>
  <c r="Z60" i="33" s="1"/>
  <c r="F48" i="36"/>
  <c r="X70" i="36"/>
  <c r="Z70" i="36" s="1"/>
  <c r="N94" i="36"/>
  <c r="F108" i="36"/>
  <c r="J27" i="21"/>
  <c r="J29" i="21"/>
  <c r="J31" i="21"/>
  <c r="J35" i="21"/>
  <c r="J39" i="21"/>
  <c r="J57" i="21"/>
  <c r="J67" i="21"/>
  <c r="J83" i="21"/>
  <c r="J89" i="21"/>
  <c r="J99" i="21"/>
  <c r="H38" i="24"/>
  <c r="J51" i="24"/>
  <c r="V53" i="24"/>
  <c r="V57" i="24"/>
  <c r="V61" i="24"/>
  <c r="J69" i="24"/>
  <c r="V73" i="24"/>
  <c r="V81" i="24"/>
  <c r="J85" i="24"/>
  <c r="J91" i="24"/>
  <c r="V38" i="27"/>
  <c r="V42" i="27"/>
  <c r="V46" i="27"/>
  <c r="V50" i="27"/>
  <c r="J62" i="27"/>
  <c r="J66" i="27"/>
  <c r="J80" i="27"/>
  <c r="J90" i="27"/>
  <c r="J98" i="27"/>
  <c r="V106" i="27"/>
  <c r="J112" i="27"/>
  <c r="P115" i="27"/>
  <c r="X115" i="27" s="1"/>
  <c r="Z115" i="27" s="1"/>
  <c r="V118" i="27"/>
  <c r="V55" i="30"/>
  <c r="V59" i="30"/>
  <c r="V63" i="30"/>
  <c r="V67" i="30"/>
  <c r="V71" i="30"/>
  <c r="V75" i="30"/>
  <c r="J83" i="30"/>
  <c r="J87" i="30"/>
  <c r="J99" i="30"/>
  <c r="V104" i="30"/>
  <c r="V107" i="30"/>
  <c r="J115" i="30"/>
  <c r="V139" i="30"/>
  <c r="J143" i="30"/>
  <c r="D12" i="33"/>
  <c r="L82" i="33"/>
  <c r="N82" i="33" s="1"/>
  <c r="D81" i="33"/>
  <c r="L81" i="33" s="1"/>
  <c r="N81" i="33" s="1"/>
  <c r="Z54" i="36"/>
  <c r="F110" i="36"/>
  <c r="X112" i="36"/>
  <c r="J30" i="21"/>
  <c r="J44" i="21"/>
  <c r="J48" i="21"/>
  <c r="J56" i="21"/>
  <c r="J66" i="21"/>
  <c r="J76" i="21"/>
  <c r="J82" i="21"/>
  <c r="J28" i="24"/>
  <c r="V30" i="24"/>
  <c r="V34" i="24"/>
  <c r="J38" i="24"/>
  <c r="J40" i="24"/>
  <c r="J42" i="24"/>
  <c r="J46" i="24"/>
  <c r="J50" i="24"/>
  <c r="V62" i="24"/>
  <c r="J68" i="24"/>
  <c r="V70" i="24"/>
  <c r="J78" i="24"/>
  <c r="V59" i="27"/>
  <c r="V63" i="27"/>
  <c r="V67" i="27"/>
  <c r="J71" i="27"/>
  <c r="J75" i="27"/>
  <c r="J79" i="27"/>
  <c r="V83" i="27"/>
  <c r="J89" i="27"/>
  <c r="V91" i="27"/>
  <c r="J97" i="27"/>
  <c r="V99" i="27"/>
  <c r="V107" i="27"/>
  <c r="V84" i="30"/>
  <c r="V88" i="30"/>
  <c r="J92" i="30"/>
  <c r="V93" i="30"/>
  <c r="J102" i="30"/>
  <c r="L106" i="30"/>
  <c r="N106" i="30" s="1"/>
  <c r="L112" i="30"/>
  <c r="J117" i="30"/>
  <c r="V119" i="30"/>
  <c r="J123" i="30"/>
  <c r="V152" i="30"/>
  <c r="V171" i="30"/>
  <c r="N32" i="33"/>
  <c r="Z33" i="33"/>
  <c r="F44" i="36"/>
  <c r="Z52" i="36"/>
  <c r="Z112" i="36"/>
  <c r="Z114" i="36"/>
  <c r="V28" i="33"/>
  <c r="V30" i="33"/>
  <c r="V32" i="33"/>
  <c r="J40" i="33"/>
  <c r="J54" i="33"/>
  <c r="V60" i="33"/>
  <c r="J64" i="33"/>
  <c r="V68" i="33"/>
  <c r="J72" i="33"/>
  <c r="J78" i="33"/>
  <c r="R23" i="36"/>
  <c r="H27" i="36"/>
  <c r="V42" i="36"/>
  <c r="V46" i="36"/>
  <c r="V50" i="36"/>
  <c r="J56" i="36"/>
  <c r="R59" i="36"/>
  <c r="J64" i="36"/>
  <c r="R67" i="36"/>
  <c r="R68" i="36"/>
  <c r="V70" i="36"/>
  <c r="J76" i="36"/>
  <c r="R79" i="36"/>
  <c r="R80" i="36"/>
  <c r="V86" i="36"/>
  <c r="J90" i="36"/>
  <c r="R91" i="36"/>
  <c r="V98" i="36"/>
  <c r="V102" i="36"/>
  <c r="V106" i="36"/>
  <c r="J110" i="36"/>
  <c r="R111" i="36"/>
  <c r="R112" i="36"/>
  <c r="V114" i="36"/>
  <c r="R119" i="36"/>
  <c r="V122" i="36"/>
  <c r="X123" i="36"/>
  <c r="Z123" i="36" s="1"/>
  <c r="J40" i="39"/>
  <c r="F45" i="39"/>
  <c r="Z74" i="39"/>
  <c r="Z76" i="39"/>
  <c r="Z78" i="39"/>
  <c r="N88" i="39"/>
  <c r="X94" i="39"/>
  <c r="Z94" i="39" s="1"/>
  <c r="V46" i="33"/>
  <c r="V50" i="33"/>
  <c r="V58" i="33"/>
  <c r="V66" i="33"/>
  <c r="J76" i="33"/>
  <c r="V82" i="33"/>
  <c r="R22" i="36"/>
  <c r="J30" i="36"/>
  <c r="V32" i="36"/>
  <c r="V36" i="36"/>
  <c r="V40" i="36"/>
  <c r="J44" i="36"/>
  <c r="R45" i="36"/>
  <c r="J48" i="36"/>
  <c r="R49" i="36"/>
  <c r="J54" i="36"/>
  <c r="R57" i="36"/>
  <c r="R58" i="36"/>
  <c r="J62" i="36"/>
  <c r="R65" i="36"/>
  <c r="R66" i="36"/>
  <c r="V68" i="36"/>
  <c r="J74" i="36"/>
  <c r="R77" i="36"/>
  <c r="R78" i="36"/>
  <c r="V80" i="36"/>
  <c r="V84" i="36"/>
  <c r="J94" i="36"/>
  <c r="V96" i="36"/>
  <c r="J100" i="36"/>
  <c r="R101" i="36"/>
  <c r="J104" i="36"/>
  <c r="R105" i="36"/>
  <c r="J108" i="36"/>
  <c r="V112" i="36"/>
  <c r="J116" i="36"/>
  <c r="R117" i="36"/>
  <c r="R118" i="36"/>
  <c r="F54" i="39"/>
  <c r="J79" i="39"/>
  <c r="Z88" i="39"/>
  <c r="X88" i="39"/>
  <c r="F95" i="39"/>
  <c r="Z114" i="39"/>
  <c r="X114" i="39"/>
  <c r="J117" i="39"/>
  <c r="V27" i="33"/>
  <c r="J35" i="33"/>
  <c r="J39" i="33"/>
  <c r="V55" i="33"/>
  <c r="J63" i="33"/>
  <c r="J71" i="33"/>
  <c r="J75" i="33"/>
  <c r="V79" i="33"/>
  <c r="V81" i="33"/>
  <c r="J25" i="36"/>
  <c r="V41" i="36"/>
  <c r="V45" i="36"/>
  <c r="V49" i="36"/>
  <c r="J53" i="36"/>
  <c r="V57" i="36"/>
  <c r="J61" i="36"/>
  <c r="V65" i="36"/>
  <c r="J73" i="36"/>
  <c r="V77" i="36"/>
  <c r="V85" i="36"/>
  <c r="J89" i="36"/>
  <c r="R90" i="36"/>
  <c r="J93" i="36"/>
  <c r="V97" i="36"/>
  <c r="V101" i="36"/>
  <c r="V105" i="36"/>
  <c r="R110" i="36"/>
  <c r="V117" i="36"/>
  <c r="X26" i="39"/>
  <c r="Z26" i="39" s="1"/>
  <c r="F50" i="39"/>
  <c r="F52" i="39"/>
  <c r="J54" i="39"/>
  <c r="F63" i="39"/>
  <c r="F87" i="39"/>
  <c r="D25" i="42"/>
  <c r="V72" i="33"/>
  <c r="P27" i="36"/>
  <c r="R31" i="36"/>
  <c r="J34" i="36"/>
  <c r="R35" i="36"/>
  <c r="J38" i="36"/>
  <c r="R39" i="36"/>
  <c r="J52" i="36"/>
  <c r="R55" i="36"/>
  <c r="R56" i="36"/>
  <c r="R63" i="36"/>
  <c r="R64" i="36"/>
  <c r="J72" i="36"/>
  <c r="R75" i="36"/>
  <c r="R76" i="36"/>
  <c r="J82" i="36"/>
  <c r="R83" i="36"/>
  <c r="J88" i="36"/>
  <c r="V90" i="36"/>
  <c r="R95" i="36"/>
  <c r="V110" i="36"/>
  <c r="V118" i="36"/>
  <c r="J125" i="36"/>
  <c r="R129" i="36"/>
  <c r="F44" i="39"/>
  <c r="J43" i="33"/>
  <c r="V45" i="33"/>
  <c r="V49" i="33"/>
  <c r="V53" i="33"/>
  <c r="J61" i="33"/>
  <c r="V65" i="33"/>
  <c r="J69" i="33"/>
  <c r="V77" i="33"/>
  <c r="J87" i="33"/>
  <c r="R29" i="36"/>
  <c r="V39" i="36"/>
  <c r="J43" i="36"/>
  <c r="R44" i="36"/>
  <c r="J47" i="36"/>
  <c r="R48" i="36"/>
  <c r="J51" i="36"/>
  <c r="V55" i="36"/>
  <c r="V63" i="36"/>
  <c r="J71" i="36"/>
  <c r="V75" i="36"/>
  <c r="V83" i="36"/>
  <c r="J87" i="36"/>
  <c r="V95" i="36"/>
  <c r="J99" i="36"/>
  <c r="R100" i="36"/>
  <c r="J103" i="36"/>
  <c r="R104" i="36"/>
  <c r="J107" i="36"/>
  <c r="R108" i="36"/>
  <c r="R109" i="36"/>
  <c r="J115" i="36"/>
  <c r="R116" i="36"/>
  <c r="J124" i="36"/>
  <c r="V129" i="36"/>
  <c r="F46" i="39"/>
  <c r="F48" i="39"/>
  <c r="F67" i="39"/>
  <c r="F81" i="39"/>
  <c r="V26" i="33"/>
  <c r="V54" i="33"/>
  <c r="J60" i="33"/>
  <c r="J68" i="33"/>
  <c r="J74" i="33"/>
  <c r="V78" i="33"/>
  <c r="J24" i="36"/>
  <c r="R25" i="36"/>
  <c r="R30" i="36"/>
  <c r="R53" i="36"/>
  <c r="R54" i="36"/>
  <c r="J60" i="36"/>
  <c r="R61" i="36"/>
  <c r="R62" i="36"/>
  <c r="V64" i="36"/>
  <c r="J70" i="36"/>
  <c r="R73" i="36"/>
  <c r="R74" i="36"/>
  <c r="V76" i="36"/>
  <c r="R89" i="36"/>
  <c r="J92" i="36"/>
  <c r="R93" i="36"/>
  <c r="R94" i="36"/>
  <c r="V100" i="36"/>
  <c r="V104" i="36"/>
  <c r="V108" i="36"/>
  <c r="J114" i="36"/>
  <c r="V116" i="36"/>
  <c r="J123" i="36"/>
  <c r="N34" i="39"/>
  <c r="Z59" i="39"/>
  <c r="N55" i="42"/>
  <c r="Z114" i="42"/>
  <c r="R34" i="36"/>
  <c r="R38" i="36"/>
  <c r="J81" i="36"/>
  <c r="R82" i="36"/>
  <c r="J113" i="36"/>
  <c r="J121" i="36"/>
  <c r="J122" i="36"/>
  <c r="F119" i="39"/>
  <c r="F118" i="39"/>
  <c r="F111" i="39"/>
  <c r="F122" i="39"/>
  <c r="F123" i="39"/>
  <c r="F121" i="39"/>
  <c r="F92" i="39"/>
  <c r="F125" i="39"/>
  <c r="F129" i="39"/>
  <c r="F101" i="39"/>
  <c r="F93" i="39"/>
  <c r="F83" i="39"/>
  <c r="F75" i="39"/>
  <c r="F74" i="39"/>
  <c r="F51" i="39"/>
  <c r="F47" i="39"/>
  <c r="F109" i="39"/>
  <c r="F66" i="39"/>
  <c r="F65" i="39"/>
  <c r="F58" i="39"/>
  <c r="F57" i="39"/>
  <c r="F42" i="39"/>
  <c r="F99" i="39"/>
  <c r="F90" i="39"/>
  <c r="F77" i="39"/>
  <c r="F76" i="39"/>
  <c r="F29" i="39"/>
  <c r="F112" i="39"/>
  <c r="F79" i="39"/>
  <c r="F78" i="39"/>
  <c r="F43" i="39"/>
  <c r="F39" i="39"/>
  <c r="F35" i="39"/>
  <c r="F34" i="39"/>
  <c r="F116" i="39"/>
  <c r="F110" i="39"/>
  <c r="F102" i="39"/>
  <c r="F91" i="39"/>
  <c r="F86" i="39"/>
  <c r="F85" i="39"/>
  <c r="F70" i="39"/>
  <c r="F69" i="39"/>
  <c r="F62" i="39"/>
  <c r="F61" i="39"/>
  <c r="F105" i="39"/>
  <c r="F100" i="39"/>
  <c r="F96" i="39"/>
  <c r="F124" i="39"/>
  <c r="F114" i="39"/>
  <c r="F98" i="39"/>
  <c r="F89" i="39"/>
  <c r="F88" i="39"/>
  <c r="F73" i="39"/>
  <c r="F72" i="39"/>
  <c r="F41" i="39"/>
  <c r="F37" i="39"/>
  <c r="F115" i="39"/>
  <c r="F106" i="39"/>
  <c r="F64" i="39"/>
  <c r="F56" i="39"/>
  <c r="F55" i="39"/>
  <c r="F28" i="39"/>
  <c r="F33" i="39"/>
  <c r="F94" i="39"/>
  <c r="F103" i="39"/>
  <c r="J28" i="33"/>
  <c r="V44" i="33"/>
  <c r="V48" i="33"/>
  <c r="V52" i="33"/>
  <c r="J58" i="33"/>
  <c r="V76" i="33"/>
  <c r="J83" i="33"/>
  <c r="V30" i="36"/>
  <c r="V34" i="36"/>
  <c r="V38" i="36"/>
  <c r="J42" i="36"/>
  <c r="R43" i="36"/>
  <c r="J46" i="36"/>
  <c r="R47" i="36"/>
  <c r="J50" i="36"/>
  <c r="R51" i="36"/>
  <c r="R52" i="36"/>
  <c r="V54" i="36"/>
  <c r="V62" i="36"/>
  <c r="J68" i="36"/>
  <c r="R71" i="36"/>
  <c r="R72" i="36"/>
  <c r="V74" i="36"/>
  <c r="J80" i="36"/>
  <c r="V82" i="36"/>
  <c r="J86" i="36"/>
  <c r="R87" i="36"/>
  <c r="R88" i="36"/>
  <c r="V94" i="36"/>
  <c r="J98" i="36"/>
  <c r="R99" i="36"/>
  <c r="J102" i="36"/>
  <c r="R103" i="36"/>
  <c r="J106" i="36"/>
  <c r="R107" i="36"/>
  <c r="J112" i="36"/>
  <c r="R115" i="36"/>
  <c r="R125" i="36"/>
  <c r="T127" i="36"/>
  <c r="J119" i="39"/>
  <c r="J111" i="39"/>
  <c r="J112" i="39"/>
  <c r="J106" i="39"/>
  <c r="J102" i="39"/>
  <c r="J98" i="39"/>
  <c r="J123" i="39"/>
  <c r="J124" i="39"/>
  <c r="J115" i="39"/>
  <c r="J107" i="39"/>
  <c r="J103" i="39"/>
  <c r="J99" i="39"/>
  <c r="J110" i="39"/>
  <c r="J76" i="39"/>
  <c r="J66" i="39"/>
  <c r="J58" i="39"/>
  <c r="J42" i="39"/>
  <c r="J38" i="39"/>
  <c r="J94" i="39"/>
  <c r="J90" i="39"/>
  <c r="J77" i="39"/>
  <c r="J67" i="39"/>
  <c r="J59" i="39"/>
  <c r="J125" i="39"/>
  <c r="J122" i="39"/>
  <c r="J104" i="39"/>
  <c r="J95" i="39"/>
  <c r="J84" i="39"/>
  <c r="J78" i="39"/>
  <c r="J68" i="39"/>
  <c r="J60" i="39"/>
  <c r="J52" i="39"/>
  <c r="J48" i="39"/>
  <c r="J34" i="39"/>
  <c r="J116" i="39"/>
  <c r="J91" i="39"/>
  <c r="J86" i="39"/>
  <c r="J80" i="39"/>
  <c r="J70" i="39"/>
  <c r="J62" i="39"/>
  <c r="J44" i="39"/>
  <c r="J81" i="39"/>
  <c r="J53" i="39"/>
  <c r="J49" i="39"/>
  <c r="J45" i="39"/>
  <c r="J105" i="39"/>
  <c r="J100" i="39"/>
  <c r="J96" i="39"/>
  <c r="J113" i="39"/>
  <c r="J97" i="39"/>
  <c r="J87" i="39"/>
  <c r="J71" i="39"/>
  <c r="J63" i="39"/>
  <c r="J121" i="39"/>
  <c r="J74" i="39"/>
  <c r="J64" i="39"/>
  <c r="J56" i="39"/>
  <c r="J118" i="39"/>
  <c r="J109" i="39"/>
  <c r="J101" i="39"/>
  <c r="J93" i="39"/>
  <c r="J83" i="39"/>
  <c r="J75" i="39"/>
  <c r="J65" i="39"/>
  <c r="J57" i="39"/>
  <c r="J51" i="39"/>
  <c r="J47" i="39"/>
  <c r="F27" i="39"/>
  <c r="D31" i="39"/>
  <c r="F36" i="39"/>
  <c r="F53" i="39"/>
  <c r="J69" i="39"/>
  <c r="L78" i="39"/>
  <c r="N78" i="39" s="1"/>
  <c r="Z109" i="39"/>
  <c r="J37" i="33"/>
  <c r="J41" i="33"/>
  <c r="J57" i="33"/>
  <c r="V61" i="33"/>
  <c r="V69" i="33"/>
  <c r="J73" i="33"/>
  <c r="J81" i="33"/>
  <c r="J82" i="33"/>
  <c r="V87" i="33"/>
  <c r="X12" i="36"/>
  <c r="Z12" i="36" s="1"/>
  <c r="J23" i="36"/>
  <c r="R24" i="36"/>
  <c r="X30" i="36"/>
  <c r="Z30" i="36" s="1"/>
  <c r="J41" i="36"/>
  <c r="X54" i="36"/>
  <c r="J59" i="36"/>
  <c r="R60" i="36"/>
  <c r="J67" i="36"/>
  <c r="V71" i="36"/>
  <c r="J79" i="36"/>
  <c r="J85" i="36"/>
  <c r="V87" i="36"/>
  <c r="J91" i="36"/>
  <c r="R92" i="36"/>
  <c r="X94" i="36"/>
  <c r="Z94" i="36" s="1"/>
  <c r="J97" i="36"/>
  <c r="V99" i="36"/>
  <c r="V103" i="36"/>
  <c r="V107" i="36"/>
  <c r="J111" i="36"/>
  <c r="L112" i="36"/>
  <c r="N112" i="36" s="1"/>
  <c r="V115" i="36"/>
  <c r="J119" i="36"/>
  <c r="R124" i="36"/>
  <c r="V125" i="36"/>
  <c r="V127" i="36"/>
  <c r="L12" i="39"/>
  <c r="N12" i="39" s="1"/>
  <c r="F31" i="39"/>
  <c r="F38" i="39"/>
  <c r="F60" i="39"/>
  <c r="F71" i="39"/>
  <c r="Z72" i="39"/>
  <c r="X72" i="39"/>
  <c r="F80" i="39"/>
  <c r="F84" i="39"/>
  <c r="L112" i="39"/>
  <c r="N112" i="39"/>
  <c r="V34" i="33"/>
  <c r="V38" i="33"/>
  <c r="V42" i="33"/>
  <c r="J46" i="33"/>
  <c r="J50" i="33"/>
  <c r="J56" i="33"/>
  <c r="V62" i="33"/>
  <c r="V70" i="33"/>
  <c r="J22" i="36"/>
  <c r="J32" i="36"/>
  <c r="R33" i="36"/>
  <c r="J36" i="36"/>
  <c r="R37" i="36"/>
  <c r="J40" i="36"/>
  <c r="V52" i="36"/>
  <c r="J58" i="36"/>
  <c r="V60" i="36"/>
  <c r="J66" i="36"/>
  <c r="R69" i="36"/>
  <c r="R70" i="36"/>
  <c r="V72" i="36"/>
  <c r="J78" i="36"/>
  <c r="R81" i="36"/>
  <c r="J84" i="36"/>
  <c r="V88" i="36"/>
  <c r="V92" i="36"/>
  <c r="J96" i="36"/>
  <c r="R113" i="36"/>
  <c r="R114" i="36"/>
  <c r="F26" i="39"/>
  <c r="F49" i="39"/>
  <c r="Z67" i="39"/>
  <c r="N80" i="39"/>
  <c r="F82" i="39"/>
  <c r="F108" i="39"/>
  <c r="J114" i="39"/>
  <c r="N121" i="39"/>
  <c r="F48" i="42"/>
  <c r="F70" i="42"/>
  <c r="V95" i="42"/>
  <c r="R60" i="45"/>
  <c r="D16" i="60"/>
  <c r="L14" i="60"/>
  <c r="F89" i="42"/>
  <c r="F77" i="42"/>
  <c r="F45" i="42"/>
  <c r="F41" i="42"/>
  <c r="F112" i="42"/>
  <c r="F111" i="42"/>
  <c r="F104" i="42"/>
  <c r="F84" i="42"/>
  <c r="F72" i="42"/>
  <c r="F71" i="42"/>
  <c r="F60" i="42"/>
  <c r="F59" i="42"/>
  <c r="F52" i="42"/>
  <c r="F51" i="42"/>
  <c r="F36" i="42"/>
  <c r="F32" i="42"/>
  <c r="F99" i="42"/>
  <c r="F95" i="42"/>
  <c r="F91" i="42"/>
  <c r="F90" i="42"/>
  <c r="F79" i="42"/>
  <c r="F78" i="42"/>
  <c r="F23" i="42"/>
  <c r="F115" i="42"/>
  <c r="F106" i="42"/>
  <c r="F105" i="42"/>
  <c r="F74" i="42"/>
  <c r="F73" i="42"/>
  <c r="F116" i="42"/>
  <c r="F85" i="42"/>
  <c r="F37" i="42"/>
  <c r="F33" i="42"/>
  <c r="F29" i="42"/>
  <c r="F28" i="42"/>
  <c r="F117" i="42"/>
  <c r="F108" i="42"/>
  <c r="F107" i="42"/>
  <c r="F100" i="42"/>
  <c r="F96" i="42"/>
  <c r="F92" i="42"/>
  <c r="F80" i="42"/>
  <c r="F64" i="42"/>
  <c r="F63" i="42"/>
  <c r="F56" i="42"/>
  <c r="F55" i="42"/>
  <c r="F27" i="42"/>
  <c r="F25" i="42"/>
  <c r="F118" i="42"/>
  <c r="F75" i="42"/>
  <c r="F47" i="42"/>
  <c r="F43" i="42"/>
  <c r="F39" i="42"/>
  <c r="F38" i="42"/>
  <c r="F86" i="42"/>
  <c r="F82" i="42"/>
  <c r="F81" i="42"/>
  <c r="F66" i="42"/>
  <c r="F65" i="42"/>
  <c r="F34" i="42"/>
  <c r="F30" i="42"/>
  <c r="F109" i="42"/>
  <c r="F101" i="42"/>
  <c r="F97" i="42"/>
  <c r="F93" i="42"/>
  <c r="F57" i="42"/>
  <c r="F21" i="42"/>
  <c r="F20" i="42"/>
  <c r="F103" i="42"/>
  <c r="F102" i="42"/>
  <c r="F83" i="42"/>
  <c r="F35" i="42"/>
  <c r="F31" i="42"/>
  <c r="V27" i="42"/>
  <c r="F44" i="42"/>
  <c r="F46" i="42"/>
  <c r="F62" i="42"/>
  <c r="F67" i="42"/>
  <c r="F76" i="42"/>
  <c r="Z52" i="45"/>
  <c r="R66" i="45"/>
  <c r="Z121" i="39"/>
  <c r="V118" i="42"/>
  <c r="V108" i="42"/>
  <c r="V100" i="42"/>
  <c r="V96" i="42"/>
  <c r="V92" i="42"/>
  <c r="V80" i="42"/>
  <c r="V64" i="42"/>
  <c r="V56" i="42"/>
  <c r="V20" i="42"/>
  <c r="V87" i="42"/>
  <c r="V75" i="42"/>
  <c r="V67" i="42"/>
  <c r="V47" i="42"/>
  <c r="V43" i="42"/>
  <c r="V39" i="42"/>
  <c r="V102" i="42"/>
  <c r="V86" i="42"/>
  <c r="V82" i="42"/>
  <c r="V66" i="42"/>
  <c r="V34" i="42"/>
  <c r="V30" i="42"/>
  <c r="V109" i="42"/>
  <c r="V101" i="42"/>
  <c r="V97" i="42"/>
  <c r="V93" i="42"/>
  <c r="V122" i="42"/>
  <c r="V88" i="42"/>
  <c r="V76" i="42"/>
  <c r="V68" i="42"/>
  <c r="V48" i="42"/>
  <c r="V44" i="42"/>
  <c r="V40" i="42"/>
  <c r="V111" i="42"/>
  <c r="V103" i="42"/>
  <c r="V83" i="42"/>
  <c r="V71" i="42"/>
  <c r="V59" i="42"/>
  <c r="V51" i="42"/>
  <c r="V35" i="42"/>
  <c r="V31" i="42"/>
  <c r="V110" i="42"/>
  <c r="V98" i="42"/>
  <c r="V94" i="42"/>
  <c r="V90" i="42"/>
  <c r="V78" i="42"/>
  <c r="V70" i="42"/>
  <c r="V58" i="42"/>
  <c r="V50" i="42"/>
  <c r="V105" i="42"/>
  <c r="V89" i="42"/>
  <c r="V77" i="42"/>
  <c r="V73" i="42"/>
  <c r="V61" i="42"/>
  <c r="V53" i="42"/>
  <c r="V45" i="42"/>
  <c r="V41" i="42"/>
  <c r="V114" i="42"/>
  <c r="V112" i="42"/>
  <c r="V104" i="42"/>
  <c r="V84" i="42"/>
  <c r="V72" i="42"/>
  <c r="V60" i="42"/>
  <c r="V52" i="42"/>
  <c r="V36" i="42"/>
  <c r="V32" i="42"/>
  <c r="V28" i="42"/>
  <c r="V116" i="42"/>
  <c r="V106" i="42"/>
  <c r="V74" i="42"/>
  <c r="V62" i="42"/>
  <c r="V54" i="42"/>
  <c r="V46" i="42"/>
  <c r="V42" i="42"/>
  <c r="V38" i="42"/>
  <c r="T25" i="42"/>
  <c r="N28" i="42"/>
  <c r="F50" i="42"/>
  <c r="F61" i="42"/>
  <c r="F69" i="42"/>
  <c r="F87" i="42"/>
  <c r="R65" i="45"/>
  <c r="J33" i="55"/>
  <c r="J31" i="55"/>
  <c r="J21" i="55"/>
  <c r="H16" i="55"/>
  <c r="J22" i="55"/>
  <c r="J35" i="55"/>
  <c r="J23" i="55"/>
  <c r="J24" i="55"/>
  <c r="J40" i="55"/>
  <c r="J37" i="55"/>
  <c r="J25" i="55"/>
  <c r="J26" i="55"/>
  <c r="J27" i="55"/>
  <c r="J28" i="55"/>
  <c r="N12" i="55"/>
  <c r="L12" i="55"/>
  <c r="J29" i="55"/>
  <c r="J19" i="55"/>
  <c r="J20" i="55"/>
  <c r="J14" i="55"/>
  <c r="J18" i="55"/>
  <c r="J16" i="55"/>
  <c r="F94" i="42"/>
  <c r="V25" i="42"/>
  <c r="Z28" i="42"/>
  <c r="Z38" i="42"/>
  <c r="V85" i="42"/>
  <c r="V91" i="42"/>
  <c r="V107" i="42"/>
  <c r="V117" i="42"/>
  <c r="F122" i="42"/>
  <c r="R55" i="45"/>
  <c r="P12" i="42"/>
  <c r="X13" i="42"/>
  <c r="Z13" i="42" s="1"/>
  <c r="X38" i="42"/>
  <c r="V99" i="42"/>
  <c r="L102" i="42"/>
  <c r="N102" i="42" s="1"/>
  <c r="V115" i="42"/>
  <c r="R49" i="45"/>
  <c r="Z97" i="39"/>
  <c r="Z69" i="42"/>
  <c r="V81" i="42"/>
  <c r="H101" i="45"/>
  <c r="V29" i="42"/>
  <c r="V33" i="42"/>
  <c r="V37" i="42"/>
  <c r="F68" i="42"/>
  <c r="V69" i="42"/>
  <c r="D70" i="48"/>
  <c r="L71" i="48"/>
  <c r="N71" i="48" s="1"/>
  <c r="V21" i="42"/>
  <c r="V23" i="42"/>
  <c r="F53" i="42"/>
  <c r="F98" i="42"/>
  <c r="R92" i="45"/>
  <c r="R76" i="45"/>
  <c r="R87" i="45"/>
  <c r="R83" i="45"/>
  <c r="R71" i="45"/>
  <c r="R64" i="45"/>
  <c r="R63" i="45"/>
  <c r="R52" i="45"/>
  <c r="R51" i="45"/>
  <c r="R35" i="45"/>
  <c r="R31" i="45"/>
  <c r="R27" i="45"/>
  <c r="R88" i="45"/>
  <c r="R84" i="45"/>
  <c r="R73" i="45"/>
  <c r="R72" i="45"/>
  <c r="R37" i="45"/>
  <c r="R36" i="45"/>
  <c r="R32" i="45"/>
  <c r="R28" i="45"/>
  <c r="X12" i="45"/>
  <c r="Z12" i="45" s="1"/>
  <c r="R96" i="45"/>
  <c r="R95" i="45"/>
  <c r="R80" i="45"/>
  <c r="R79" i="45"/>
  <c r="R97" i="45"/>
  <c r="R89" i="45"/>
  <c r="R85" i="45"/>
  <c r="R81" i="45"/>
  <c r="R69" i="45"/>
  <c r="R58" i="45"/>
  <c r="R57" i="45"/>
  <c r="R33" i="45"/>
  <c r="R29" i="45"/>
  <c r="R99" i="45"/>
  <c r="R91" i="45"/>
  <c r="R90" i="45"/>
  <c r="R86" i="45"/>
  <c r="R82" i="45"/>
  <c r="R70" i="45"/>
  <c r="R34" i="45"/>
  <c r="R30" i="45"/>
  <c r="R94" i="45"/>
  <c r="R46" i="45"/>
  <c r="R41" i="45"/>
  <c r="R103" i="45"/>
  <c r="R61" i="45"/>
  <c r="R50" i="45"/>
  <c r="R44" i="45"/>
  <c r="R21" i="45"/>
  <c r="R77" i="45"/>
  <c r="R67" i="45"/>
  <c r="R56" i="45"/>
  <c r="R39" i="45"/>
  <c r="R18" i="45"/>
  <c r="R75" i="45"/>
  <c r="R47" i="45"/>
  <c r="R78" i="45"/>
  <c r="R62" i="45"/>
  <c r="R53" i="45"/>
  <c r="R48" i="45"/>
  <c r="R19" i="45"/>
  <c r="R42" i="45"/>
  <c r="R68" i="45"/>
  <c r="R59" i="45"/>
  <c r="R54" i="45"/>
  <c r="R45" i="45"/>
  <c r="R40" i="45"/>
  <c r="P23" i="45"/>
  <c r="R43" i="45"/>
  <c r="R38" i="45"/>
  <c r="R20" i="45"/>
  <c r="J22" i="42"/>
  <c r="J50" i="42"/>
  <c r="J58" i="42"/>
  <c r="J70" i="42"/>
  <c r="J94" i="42"/>
  <c r="J98" i="42"/>
  <c r="J110" i="42"/>
  <c r="D12" i="45"/>
  <c r="Z26" i="45"/>
  <c r="J40" i="45"/>
  <c r="V52" i="45"/>
  <c r="X91" i="45"/>
  <c r="Z91" i="45" s="1"/>
  <c r="J20" i="48"/>
  <c r="V22" i="48"/>
  <c r="V30" i="48"/>
  <c r="J68" i="42"/>
  <c r="J76" i="42"/>
  <c r="J88" i="42"/>
  <c r="J102" i="42"/>
  <c r="J122" i="42"/>
  <c r="V81" i="45"/>
  <c r="V84" i="45"/>
  <c r="V89" i="45"/>
  <c r="V96" i="45"/>
  <c r="J21" i="42"/>
  <c r="J57" i="42"/>
  <c r="J67" i="42"/>
  <c r="J87" i="42"/>
  <c r="J93" i="42"/>
  <c r="J97" i="42"/>
  <c r="J101" i="42"/>
  <c r="J109" i="42"/>
  <c r="H120" i="42"/>
  <c r="X15" i="45"/>
  <c r="J18" i="45"/>
  <c r="X25" i="45"/>
  <c r="Z25" i="45" s="1"/>
  <c r="J37" i="45"/>
  <c r="J47" i="45"/>
  <c r="V51" i="45"/>
  <c r="J53" i="45"/>
  <c r="V70" i="45"/>
  <c r="L19" i="48"/>
  <c r="N19" i="48" s="1"/>
  <c r="V20" i="48"/>
  <c r="L53" i="48"/>
  <c r="N53" i="48" s="1"/>
  <c r="N55" i="48"/>
  <c r="X65" i="48"/>
  <c r="Z65" i="48" s="1"/>
  <c r="J82" i="42"/>
  <c r="J86" i="42"/>
  <c r="J120" i="42"/>
  <c r="L18" i="45"/>
  <c r="N18" i="45" s="1"/>
  <c r="J39" i="42"/>
  <c r="J43" i="42"/>
  <c r="J47" i="42"/>
  <c r="J65" i="42"/>
  <c r="J75" i="42"/>
  <c r="J81" i="42"/>
  <c r="D114" i="42"/>
  <c r="L114" i="42" s="1"/>
  <c r="N114" i="42" s="1"/>
  <c r="J118" i="42"/>
  <c r="J101" i="45"/>
  <c r="J99" i="45"/>
  <c r="J75" i="45"/>
  <c r="J90" i="45"/>
  <c r="J86" i="45"/>
  <c r="J82" i="45"/>
  <c r="J70" i="45"/>
  <c r="J60" i="45"/>
  <c r="J48" i="45"/>
  <c r="J34" i="45"/>
  <c r="J30" i="45"/>
  <c r="J103" i="45"/>
  <c r="J91" i="45"/>
  <c r="J61" i="45"/>
  <c r="J49" i="45"/>
  <c r="J21" i="45"/>
  <c r="J87" i="45"/>
  <c r="J83" i="45"/>
  <c r="J71" i="45"/>
  <c r="J63" i="45"/>
  <c r="J51" i="45"/>
  <c r="J35" i="45"/>
  <c r="J31" i="45"/>
  <c r="J27" i="45"/>
  <c r="J25" i="45"/>
  <c r="J23" i="45"/>
  <c r="J94" i="45"/>
  <c r="J88" i="45"/>
  <c r="J84" i="45"/>
  <c r="J78" i="45"/>
  <c r="J72" i="45"/>
  <c r="J66" i="45"/>
  <c r="J54" i="45"/>
  <c r="J36" i="45"/>
  <c r="J32" i="45"/>
  <c r="J28" i="45"/>
  <c r="J95" i="45"/>
  <c r="J79" i="45"/>
  <c r="J73" i="45"/>
  <c r="J67" i="45"/>
  <c r="J55" i="45"/>
  <c r="J97" i="45"/>
  <c r="J89" i="45"/>
  <c r="J85" i="45"/>
  <c r="J81" i="45"/>
  <c r="J69" i="45"/>
  <c r="J57" i="45"/>
  <c r="J33" i="45"/>
  <c r="J29" i="45"/>
  <c r="T23" i="45"/>
  <c r="V33" i="45"/>
  <c r="X37" i="45"/>
  <c r="Z37" i="45" s="1"/>
  <c r="J39" i="45"/>
  <c r="V42" i="45"/>
  <c r="J44" i="45"/>
  <c r="J56" i="45"/>
  <c r="V68" i="45"/>
  <c r="L73" i="45"/>
  <c r="N73" i="45" s="1"/>
  <c r="J77" i="45"/>
  <c r="J75" i="48"/>
  <c r="J63" i="48"/>
  <c r="J57" i="48"/>
  <c r="J47" i="48"/>
  <c r="J39" i="48"/>
  <c r="J35" i="48"/>
  <c r="J58" i="48"/>
  <c r="J48" i="48"/>
  <c r="J30" i="48"/>
  <c r="J26" i="48"/>
  <c r="J22" i="48"/>
  <c r="J49" i="48"/>
  <c r="J31" i="48"/>
  <c r="J64" i="48"/>
  <c r="J40" i="48"/>
  <c r="J36" i="48"/>
  <c r="J32" i="48"/>
  <c r="J65" i="48"/>
  <c r="J59" i="48"/>
  <c r="J27" i="48"/>
  <c r="J23" i="48"/>
  <c r="J66" i="48"/>
  <c r="J50" i="48"/>
  <c r="J67" i="48"/>
  <c r="J51" i="48"/>
  <c r="J41" i="48"/>
  <c r="J37" i="48"/>
  <c r="J33" i="48"/>
  <c r="J68" i="48"/>
  <c r="J60" i="48"/>
  <c r="J52" i="48"/>
  <c r="J42" i="48"/>
  <c r="J28" i="48"/>
  <c r="J24" i="48"/>
  <c r="J53" i="48"/>
  <c r="J43" i="48"/>
  <c r="J61" i="48"/>
  <c r="J55" i="48"/>
  <c r="J45" i="48"/>
  <c r="J29" i="48"/>
  <c r="J25" i="48"/>
  <c r="J21" i="48"/>
  <c r="J19" i="48"/>
  <c r="J15" i="48"/>
  <c r="F21" i="48"/>
  <c r="V26" i="48"/>
  <c r="X31" i="48"/>
  <c r="Z31" i="48" s="1"/>
  <c r="F43" i="48"/>
  <c r="F45" i="48"/>
  <c r="J38" i="42"/>
  <c r="J56" i="42"/>
  <c r="J64" i="42"/>
  <c r="J80" i="42"/>
  <c r="J92" i="42"/>
  <c r="J96" i="42"/>
  <c r="J100" i="42"/>
  <c r="J108" i="42"/>
  <c r="J117" i="42"/>
  <c r="L52" i="45"/>
  <c r="N52" i="45" s="1"/>
  <c r="J58" i="45"/>
  <c r="V97" i="45"/>
  <c r="Z19" i="48"/>
  <c r="J62" i="48"/>
  <c r="L18" i="51"/>
  <c r="D12" i="51"/>
  <c r="J107" i="42"/>
  <c r="J116" i="42"/>
  <c r="V67" i="48"/>
  <c r="V59" i="48"/>
  <c r="V51" i="48"/>
  <c r="V27" i="48"/>
  <c r="V23" i="48"/>
  <c r="V66" i="48"/>
  <c r="V50" i="48"/>
  <c r="V42" i="48"/>
  <c r="V53" i="48"/>
  <c r="V41" i="48"/>
  <c r="V37" i="48"/>
  <c r="V33" i="48"/>
  <c r="V70" i="48"/>
  <c r="V68" i="48"/>
  <c r="V60" i="48"/>
  <c r="V52" i="48"/>
  <c r="V44" i="48"/>
  <c r="V28" i="48"/>
  <c r="V71" i="48"/>
  <c r="V55" i="48"/>
  <c r="V43" i="48"/>
  <c r="V19" i="48"/>
  <c r="V17" i="48"/>
  <c r="V15" i="48"/>
  <c r="V62" i="48"/>
  <c r="V54" i="48"/>
  <c r="V46" i="48"/>
  <c r="V38" i="48"/>
  <c r="V34" i="48"/>
  <c r="T17" i="48"/>
  <c r="V61" i="48"/>
  <c r="V57" i="48"/>
  <c r="V45" i="48"/>
  <c r="V29" i="48"/>
  <c r="V25" i="48"/>
  <c r="V56" i="48"/>
  <c r="V48" i="48"/>
  <c r="V75" i="48"/>
  <c r="V63" i="48"/>
  <c r="V47" i="48"/>
  <c r="V39" i="48"/>
  <c r="V35" i="48"/>
  <c r="V31" i="48"/>
  <c r="V65" i="48"/>
  <c r="V49" i="48"/>
  <c r="V21" i="48"/>
  <c r="V24" i="48"/>
  <c r="J28" i="42"/>
  <c r="J42" i="42"/>
  <c r="J46" i="42"/>
  <c r="J54" i="42"/>
  <c r="J62" i="42"/>
  <c r="J74" i="42"/>
  <c r="J106" i="42"/>
  <c r="J114" i="42"/>
  <c r="J115" i="42"/>
  <c r="N26" i="45"/>
  <c r="V39" i="45"/>
  <c r="J41" i="45"/>
  <c r="J52" i="45"/>
  <c r="X58" i="45"/>
  <c r="Z58" i="45" s="1"/>
  <c r="V64" i="45"/>
  <c r="V71" i="45"/>
  <c r="X73" i="45"/>
  <c r="V85" i="45"/>
  <c r="Z51" i="48"/>
  <c r="J54" i="48"/>
  <c r="J23" i="42"/>
  <c r="J53" i="42"/>
  <c r="J61" i="42"/>
  <c r="J73" i="42"/>
  <c r="J79" i="42"/>
  <c r="J91" i="42"/>
  <c r="J95" i="42"/>
  <c r="J99" i="42"/>
  <c r="J105" i="42"/>
  <c r="V87" i="45"/>
  <c r="V83" i="45"/>
  <c r="V94" i="45"/>
  <c r="V78" i="45"/>
  <c r="V66" i="45"/>
  <c r="V54" i="45"/>
  <c r="V93" i="45"/>
  <c r="V77" i="45"/>
  <c r="V73" i="45"/>
  <c r="V65" i="45"/>
  <c r="V53" i="45"/>
  <c r="V45" i="45"/>
  <c r="V41" i="45"/>
  <c r="V37" i="45"/>
  <c r="V95" i="45"/>
  <c r="V79" i="45"/>
  <c r="V67" i="45"/>
  <c r="V55" i="45"/>
  <c r="V19" i="45"/>
  <c r="V74" i="45"/>
  <c r="V60" i="45"/>
  <c r="V48" i="45"/>
  <c r="V91" i="45"/>
  <c r="V75" i="45"/>
  <c r="V59" i="45"/>
  <c r="V103" i="45"/>
  <c r="V61" i="45"/>
  <c r="V49" i="45"/>
  <c r="V25" i="45"/>
  <c r="V23" i="45"/>
  <c r="V21" i="45"/>
  <c r="V18" i="45"/>
  <c r="J20" i="45"/>
  <c r="J26" i="45"/>
  <c r="J38" i="45"/>
  <c r="J43" i="45"/>
  <c r="V44" i="45"/>
  <c r="V56" i="45"/>
  <c r="Z64" i="45"/>
  <c r="Z73" i="45"/>
  <c r="H17" i="48"/>
  <c r="V36" i="48"/>
  <c r="V40" i="48"/>
  <c r="J70" i="48"/>
  <c r="J52" i="42"/>
  <c r="J60" i="42"/>
  <c r="J72" i="42"/>
  <c r="J78" i="42"/>
  <c r="J84" i="42"/>
  <c r="J90" i="42"/>
  <c r="J104" i="42"/>
  <c r="N25" i="45"/>
  <c r="V36" i="45"/>
  <c r="V58" i="45"/>
  <c r="V69" i="45"/>
  <c r="J76" i="45"/>
  <c r="V80" i="45"/>
  <c r="L91" i="45"/>
  <c r="N91" i="45" s="1"/>
  <c r="F56" i="48"/>
  <c r="F55" i="48"/>
  <c r="F19" i="48"/>
  <c r="F15" i="48"/>
  <c r="F75" i="48"/>
  <c r="F63" i="48"/>
  <c r="F62" i="48"/>
  <c r="F47" i="48"/>
  <c r="F46" i="48"/>
  <c r="F39" i="48"/>
  <c r="F35" i="48"/>
  <c r="D17" i="48"/>
  <c r="F17" i="48" s="1"/>
  <c r="F58" i="48"/>
  <c r="F57" i="48"/>
  <c r="F30" i="48"/>
  <c r="F26" i="48"/>
  <c r="F22" i="48"/>
  <c r="L12" i="48"/>
  <c r="N12" i="48" s="1"/>
  <c r="F49" i="48"/>
  <c r="F48" i="48"/>
  <c r="F64" i="48"/>
  <c r="F40" i="48"/>
  <c r="F36" i="48"/>
  <c r="F32" i="48"/>
  <c r="F31" i="48"/>
  <c r="F59" i="48"/>
  <c r="F27" i="48"/>
  <c r="F23" i="48"/>
  <c r="F66" i="48"/>
  <c r="F65" i="48"/>
  <c r="F50" i="48"/>
  <c r="F41" i="48"/>
  <c r="F37" i="48"/>
  <c r="F33" i="48"/>
  <c r="F68" i="48"/>
  <c r="F67" i="48"/>
  <c r="F60" i="48"/>
  <c r="F52" i="48"/>
  <c r="F51" i="48"/>
  <c r="F28" i="48"/>
  <c r="F24" i="48"/>
  <c r="F71" i="48"/>
  <c r="F54" i="48"/>
  <c r="F53" i="48"/>
  <c r="F38" i="48"/>
  <c r="F34" i="48"/>
  <c r="F20" i="48"/>
  <c r="V32" i="48"/>
  <c r="J56" i="48"/>
  <c r="F61" i="48"/>
  <c r="X12" i="48"/>
  <c r="Z12" i="48" s="1"/>
  <c r="R22" i="48"/>
  <c r="R26" i="48"/>
  <c r="R30" i="48"/>
  <c r="R31" i="48"/>
  <c r="R58" i="48"/>
  <c r="Z32" i="51"/>
  <c r="V61" i="51"/>
  <c r="V76" i="51"/>
  <c r="Z84" i="51"/>
  <c r="N91" i="51"/>
  <c r="Z101" i="51"/>
  <c r="Z28" i="54"/>
  <c r="N19" i="55"/>
  <c r="F28" i="56"/>
  <c r="Z58" i="56"/>
  <c r="L12" i="57"/>
  <c r="N20" i="57"/>
  <c r="Z58" i="57"/>
  <c r="R56" i="48"/>
  <c r="R57" i="48"/>
  <c r="P80" i="56"/>
  <c r="X17" i="56"/>
  <c r="Z30" i="56"/>
  <c r="F38" i="56"/>
  <c r="F44" i="56"/>
  <c r="F46" i="56"/>
  <c r="Z20" i="57"/>
  <c r="Z41" i="57"/>
  <c r="P17" i="48"/>
  <c r="R21" i="48"/>
  <c r="R25" i="48"/>
  <c r="R29" i="48"/>
  <c r="R45" i="48"/>
  <c r="R46" i="48"/>
  <c r="R61" i="48"/>
  <c r="R62" i="48"/>
  <c r="V53" i="51"/>
  <c r="N73" i="51"/>
  <c r="V87" i="51"/>
  <c r="Z52" i="56"/>
  <c r="L62" i="56"/>
  <c r="X20" i="57"/>
  <c r="N30" i="57"/>
  <c r="F40" i="57"/>
  <c r="Z43" i="57"/>
  <c r="L48" i="57"/>
  <c r="L50" i="57"/>
  <c r="N50" i="57" s="1"/>
  <c r="L64" i="57"/>
  <c r="V96" i="51"/>
  <c r="V80" i="51"/>
  <c r="V44" i="51"/>
  <c r="V40" i="51"/>
  <c r="V36" i="51"/>
  <c r="V32" i="51"/>
  <c r="V95" i="51"/>
  <c r="V91" i="51"/>
  <c r="V71" i="51"/>
  <c r="V67" i="51"/>
  <c r="V63" i="51"/>
  <c r="V98" i="51"/>
  <c r="V90" i="51"/>
  <c r="V82" i="51"/>
  <c r="V58" i="51"/>
  <c r="V54" i="51"/>
  <c r="V97" i="51"/>
  <c r="V73" i="51"/>
  <c r="V45" i="51"/>
  <c r="V41" i="51"/>
  <c r="V37" i="51"/>
  <c r="V33" i="51"/>
  <c r="V92" i="51"/>
  <c r="V84" i="51"/>
  <c r="V72" i="51"/>
  <c r="V68" i="51"/>
  <c r="V64" i="51"/>
  <c r="V101" i="51"/>
  <c r="V99" i="51"/>
  <c r="V83" i="51"/>
  <c r="V75" i="51"/>
  <c r="V59" i="51"/>
  <c r="V55" i="51"/>
  <c r="V51" i="51"/>
  <c r="V102" i="51"/>
  <c r="V86" i="51"/>
  <c r="V74" i="51"/>
  <c r="V103" i="51"/>
  <c r="V93" i="51"/>
  <c r="V85" i="51"/>
  <c r="V77" i="51"/>
  <c r="V69" i="51"/>
  <c r="V65" i="51"/>
  <c r="T48" i="51"/>
  <c r="V88" i="51"/>
  <c r="V94" i="51"/>
  <c r="V78" i="51"/>
  <c r="V70" i="51"/>
  <c r="V66" i="51"/>
  <c r="V62" i="51"/>
  <c r="V35" i="51"/>
  <c r="V39" i="51"/>
  <c r="V43" i="51"/>
  <c r="V48" i="51"/>
  <c r="D33" i="55"/>
  <c r="L16" i="55"/>
  <c r="N62" i="56"/>
  <c r="N48" i="57"/>
  <c r="N64" i="57"/>
  <c r="R20" i="48"/>
  <c r="R43" i="48"/>
  <c r="R44" i="48"/>
  <c r="R70" i="48"/>
  <c r="R71" i="48"/>
  <c r="F87" i="56"/>
  <c r="F84" i="56"/>
  <c r="F57" i="56"/>
  <c r="F56" i="56"/>
  <c r="F29" i="56"/>
  <c r="F25" i="56"/>
  <c r="F21" i="56"/>
  <c r="F20" i="56"/>
  <c r="F72" i="56"/>
  <c r="F71" i="56"/>
  <c r="F64" i="56"/>
  <c r="F19" i="56"/>
  <c r="F17" i="56"/>
  <c r="F15" i="56"/>
  <c r="F59" i="56"/>
  <c r="F58" i="56"/>
  <c r="F47" i="56"/>
  <c r="F39" i="56"/>
  <c r="F35" i="56"/>
  <c r="F31" i="56"/>
  <c r="F30" i="56"/>
  <c r="D17" i="56"/>
  <c r="F74" i="56"/>
  <c r="F73" i="56"/>
  <c r="F66" i="56"/>
  <c r="F65" i="56"/>
  <c r="F26" i="56"/>
  <c r="F22" i="56"/>
  <c r="L12" i="56"/>
  <c r="F49" i="56"/>
  <c r="F48" i="56"/>
  <c r="F76" i="56"/>
  <c r="F75" i="56"/>
  <c r="F68" i="56"/>
  <c r="F67" i="56"/>
  <c r="F60" i="56"/>
  <c r="F40" i="56"/>
  <c r="F36" i="56"/>
  <c r="F32" i="56"/>
  <c r="F51" i="56"/>
  <c r="F50" i="56"/>
  <c r="F27" i="56"/>
  <c r="F23" i="56"/>
  <c r="F42" i="56"/>
  <c r="F41" i="56"/>
  <c r="F80" i="56"/>
  <c r="F78" i="56"/>
  <c r="F69" i="56"/>
  <c r="F61" i="56"/>
  <c r="F53" i="56"/>
  <c r="F52" i="56"/>
  <c r="F37" i="56"/>
  <c r="F33" i="56"/>
  <c r="F63" i="56"/>
  <c r="F62" i="56"/>
  <c r="F55" i="56"/>
  <c r="F54" i="56"/>
  <c r="L20" i="56"/>
  <c r="N20" i="56" s="1"/>
  <c r="F34" i="56"/>
  <c r="Z48" i="56"/>
  <c r="X50" i="56"/>
  <c r="Z50" i="56" s="1"/>
  <c r="N19" i="57"/>
  <c r="Z52" i="57"/>
  <c r="R24" i="48"/>
  <c r="R28" i="48"/>
  <c r="R52" i="48"/>
  <c r="R53" i="48"/>
  <c r="R60" i="48"/>
  <c r="R68" i="48"/>
  <c r="N50" i="51"/>
  <c r="Z51" i="51"/>
  <c r="V60" i="51"/>
  <c r="N62" i="51"/>
  <c r="X23" i="55"/>
  <c r="Z23" i="55" s="1"/>
  <c r="F43" i="56"/>
  <c r="P12" i="57"/>
  <c r="X13" i="57"/>
  <c r="N62" i="57"/>
  <c r="D76" i="58"/>
  <c r="P12" i="51"/>
  <c r="X13" i="51"/>
  <c r="Z13" i="51" s="1"/>
  <c r="V56" i="51"/>
  <c r="V81" i="51"/>
  <c r="F36" i="57"/>
  <c r="R50" i="48"/>
  <c r="R51" i="48"/>
  <c r="R66" i="48"/>
  <c r="R67" i="48"/>
  <c r="Z75" i="51"/>
  <c r="V79" i="51"/>
  <c r="N86" i="51"/>
  <c r="X88" i="51"/>
  <c r="Z88" i="51" s="1"/>
  <c r="T16" i="54"/>
  <c r="V31" i="54"/>
  <c r="V29" i="54"/>
  <c r="V28" i="54"/>
  <c r="V26" i="54"/>
  <c r="V24" i="54"/>
  <c r="Z18" i="55"/>
  <c r="F45" i="56"/>
  <c r="N14" i="58"/>
  <c r="H16" i="58"/>
  <c r="L16" i="58" s="1"/>
  <c r="R23" i="48"/>
  <c r="R27" i="48"/>
  <c r="R59" i="48"/>
  <c r="N32" i="51"/>
  <c r="N84" i="51"/>
  <c r="N56" i="56"/>
  <c r="L56" i="57"/>
  <c r="N56" i="57" s="1"/>
  <c r="N58" i="57"/>
  <c r="R32" i="48"/>
  <c r="R36" i="48"/>
  <c r="R40" i="48"/>
  <c r="R64" i="48"/>
  <c r="V34" i="51"/>
  <c r="V38" i="51"/>
  <c r="V42" i="51"/>
  <c r="V46" i="51"/>
  <c r="V52" i="51"/>
  <c r="X103" i="51"/>
  <c r="Z103" i="51" s="1"/>
  <c r="P101" i="51"/>
  <c r="X101" i="51" s="1"/>
  <c r="Z25" i="55"/>
  <c r="L54" i="56"/>
  <c r="N54" i="56" s="1"/>
  <c r="F81" i="57"/>
  <c r="F78" i="57"/>
  <c r="F71" i="57"/>
  <c r="F72" i="57"/>
  <c r="F74" i="57"/>
  <c r="F67" i="57"/>
  <c r="F66" i="57"/>
  <c r="F59" i="57"/>
  <c r="F58" i="57"/>
  <c r="F51" i="57"/>
  <c r="F50" i="57"/>
  <c r="F27" i="57"/>
  <c r="F23" i="57"/>
  <c r="F42" i="57"/>
  <c r="F41" i="57"/>
  <c r="F76" i="57"/>
  <c r="F53" i="57"/>
  <c r="F52" i="57"/>
  <c r="F37" i="57"/>
  <c r="F33" i="57"/>
  <c r="F69" i="57"/>
  <c r="F60" i="57"/>
  <c r="F44" i="57"/>
  <c r="F43" i="57"/>
  <c r="F28" i="57"/>
  <c r="F24" i="57"/>
  <c r="F70" i="57"/>
  <c r="F54" i="57"/>
  <c r="F46" i="57"/>
  <c r="F45" i="57"/>
  <c r="F38" i="57"/>
  <c r="F34" i="57"/>
  <c r="F61" i="57"/>
  <c r="F29" i="57"/>
  <c r="F25" i="57"/>
  <c r="F21" i="57"/>
  <c r="F20" i="57"/>
  <c r="F19" i="57"/>
  <c r="F17" i="57"/>
  <c r="F15" i="57"/>
  <c r="F63" i="57"/>
  <c r="F62" i="57"/>
  <c r="F55" i="57"/>
  <c r="F47" i="57"/>
  <c r="F39" i="57"/>
  <c r="F35" i="57"/>
  <c r="F31" i="57"/>
  <c r="F30" i="57"/>
  <c r="D17" i="57"/>
  <c r="F65" i="57"/>
  <c r="F64" i="57"/>
  <c r="F57" i="57"/>
  <c r="F56" i="57"/>
  <c r="F49" i="57"/>
  <c r="F48" i="57"/>
  <c r="T16" i="58"/>
  <c r="Z14" i="58"/>
  <c r="J34" i="51"/>
  <c r="J38" i="51"/>
  <c r="J42" i="51"/>
  <c r="J46" i="51"/>
  <c r="J74" i="51"/>
  <c r="J84" i="51"/>
  <c r="X12" i="54"/>
  <c r="L14" i="55"/>
  <c r="R22" i="55"/>
  <c r="R23" i="55"/>
  <c r="V25" i="55"/>
  <c r="V35" i="55"/>
  <c r="V37" i="55"/>
  <c r="V40" i="55"/>
  <c r="Z12" i="56"/>
  <c r="J20" i="56"/>
  <c r="V22" i="56"/>
  <c r="V26" i="56"/>
  <c r="R31" i="56"/>
  <c r="J34" i="56"/>
  <c r="R35" i="56"/>
  <c r="J38" i="56"/>
  <c r="R39" i="56"/>
  <c r="J46" i="56"/>
  <c r="R47" i="56"/>
  <c r="R48" i="56"/>
  <c r="V50" i="56"/>
  <c r="J56" i="56"/>
  <c r="R59" i="56"/>
  <c r="V66" i="56"/>
  <c r="J70" i="56"/>
  <c r="V74" i="56"/>
  <c r="J84" i="56"/>
  <c r="J87" i="56"/>
  <c r="J81" i="57"/>
  <c r="J78" i="57"/>
  <c r="J72" i="57"/>
  <c r="J74" i="57"/>
  <c r="J76" i="57"/>
  <c r="V20" i="57"/>
  <c r="V24" i="57"/>
  <c r="V28" i="57"/>
  <c r="J32" i="57"/>
  <c r="J36" i="57"/>
  <c r="J40" i="57"/>
  <c r="V44" i="57"/>
  <c r="J50" i="57"/>
  <c r="J58" i="57"/>
  <c r="V60" i="57"/>
  <c r="J66" i="57"/>
  <c r="X14" i="58"/>
  <c r="X18" i="58"/>
  <c r="Z18" i="58" s="1"/>
  <c r="R42" i="58"/>
  <c r="N51" i="58"/>
  <c r="N69" i="58"/>
  <c r="R49" i="59"/>
  <c r="F56" i="61"/>
  <c r="F55" i="61"/>
  <c r="F38" i="61"/>
  <c r="F34" i="61"/>
  <c r="F51" i="61"/>
  <c r="F50" i="61"/>
  <c r="F39" i="61"/>
  <c r="F35" i="61"/>
  <c r="F31" i="61"/>
  <c r="F54" i="61"/>
  <c r="F62" i="61"/>
  <c r="F25" i="61"/>
  <c r="F21" i="61"/>
  <c r="F37" i="61"/>
  <c r="F58" i="61"/>
  <c r="F48" i="61"/>
  <c r="F44" i="61"/>
  <c r="F40" i="61"/>
  <c r="F64" i="61"/>
  <c r="F41" i="61"/>
  <c r="L12" i="61"/>
  <c r="F60" i="61"/>
  <c r="F49" i="61"/>
  <c r="F45" i="61"/>
  <c r="F32" i="61"/>
  <c r="F27" i="61"/>
  <c r="F23" i="61"/>
  <c r="F67" i="61"/>
  <c r="F18" i="61"/>
  <c r="F16" i="61"/>
  <c r="F14" i="61"/>
  <c r="F30" i="61"/>
  <c r="F28" i="61"/>
  <c r="D16" i="61"/>
  <c r="F33" i="61"/>
  <c r="F26" i="61"/>
  <c r="F19" i="61"/>
  <c r="F42" i="61"/>
  <c r="F24" i="61"/>
  <c r="F22" i="61"/>
  <c r="F20" i="61"/>
  <c r="F52" i="61"/>
  <c r="F47" i="61"/>
  <c r="F36" i="61"/>
  <c r="F43" i="61"/>
  <c r="F29" i="61"/>
  <c r="F46" i="61"/>
  <c r="J92" i="51"/>
  <c r="J98" i="51"/>
  <c r="D16" i="54"/>
  <c r="P16" i="55"/>
  <c r="R20" i="55"/>
  <c r="R21" i="55"/>
  <c r="R31" i="55"/>
  <c r="R33" i="55"/>
  <c r="J24" i="56"/>
  <c r="R25" i="56"/>
  <c r="J28" i="56"/>
  <c r="R29" i="56"/>
  <c r="R30" i="56"/>
  <c r="J44" i="56"/>
  <c r="V48" i="56"/>
  <c r="J54" i="56"/>
  <c r="R57" i="56"/>
  <c r="R58" i="56"/>
  <c r="J62" i="56"/>
  <c r="V64" i="56"/>
  <c r="V72" i="56"/>
  <c r="J82" i="56"/>
  <c r="J22" i="57"/>
  <c r="J26" i="57"/>
  <c r="V42" i="57"/>
  <c r="J48" i="57"/>
  <c r="J56" i="57"/>
  <c r="J64" i="57"/>
  <c r="R62" i="61"/>
  <c r="R44" i="61"/>
  <c r="R43" i="61"/>
  <c r="R56" i="61"/>
  <c r="R38" i="61"/>
  <c r="R34" i="61"/>
  <c r="R37" i="61"/>
  <c r="R64" i="61"/>
  <c r="R41" i="61"/>
  <c r="X12" i="61"/>
  <c r="R52" i="61"/>
  <c r="R32" i="61"/>
  <c r="R27" i="61"/>
  <c r="R23" i="61"/>
  <c r="R46" i="61"/>
  <c r="R42" i="61"/>
  <c r="R18" i="61"/>
  <c r="R16" i="61"/>
  <c r="R14" i="61"/>
  <c r="R53" i="61"/>
  <c r="R29" i="61"/>
  <c r="R28" i="61"/>
  <c r="R24" i="61"/>
  <c r="R20" i="61"/>
  <c r="P16" i="61"/>
  <c r="R67" i="61"/>
  <c r="R33" i="61"/>
  <c r="R25" i="61"/>
  <c r="R21" i="61"/>
  <c r="R60" i="61"/>
  <c r="R49" i="61"/>
  <c r="R26" i="61"/>
  <c r="R54" i="61"/>
  <c r="R40" i="61"/>
  <c r="R31" i="61"/>
  <c r="R22" i="61"/>
  <c r="R47" i="61"/>
  <c r="R36" i="61"/>
  <c r="R45" i="61"/>
  <c r="R50" i="61"/>
  <c r="R58" i="61"/>
  <c r="R55" i="61"/>
  <c r="R48" i="61"/>
  <c r="R35" i="61"/>
  <c r="R19" i="61"/>
  <c r="J33" i="51"/>
  <c r="J37" i="51"/>
  <c r="J41" i="51"/>
  <c r="J45" i="51"/>
  <c r="J91" i="51"/>
  <c r="J97" i="51"/>
  <c r="F14" i="54"/>
  <c r="F16" i="54"/>
  <c r="F18" i="54"/>
  <c r="F20" i="54"/>
  <c r="F22" i="54"/>
  <c r="R14" i="55"/>
  <c r="R16" i="55"/>
  <c r="R18" i="55"/>
  <c r="R29" i="55"/>
  <c r="L13" i="56"/>
  <c r="R15" i="56"/>
  <c r="R17" i="56"/>
  <c r="R19" i="56"/>
  <c r="V21" i="56"/>
  <c r="V25" i="56"/>
  <c r="V29" i="56"/>
  <c r="J33" i="56"/>
  <c r="R34" i="56"/>
  <c r="J37" i="56"/>
  <c r="R38" i="56"/>
  <c r="J43" i="56"/>
  <c r="R46" i="56"/>
  <c r="J53" i="56"/>
  <c r="V57" i="56"/>
  <c r="J61" i="56"/>
  <c r="V65" i="56"/>
  <c r="J69" i="56"/>
  <c r="R70" i="56"/>
  <c r="R71" i="56"/>
  <c r="V73" i="56"/>
  <c r="V23" i="57"/>
  <c r="V27" i="57"/>
  <c r="J31" i="57"/>
  <c r="J35" i="57"/>
  <c r="J39" i="57"/>
  <c r="V43" i="57"/>
  <c r="J47" i="57"/>
  <c r="V51" i="57"/>
  <c r="J55" i="57"/>
  <c r="V59" i="57"/>
  <c r="J63" i="57"/>
  <c r="J71" i="57"/>
  <c r="R28" i="58"/>
  <c r="Z51" i="58"/>
  <c r="L58" i="58"/>
  <c r="N58" i="58" s="1"/>
  <c r="R69" i="58"/>
  <c r="R65" i="59"/>
  <c r="N42" i="60"/>
  <c r="X77" i="51"/>
  <c r="Z77" i="51" s="1"/>
  <c r="J82" i="51"/>
  <c r="J90" i="51"/>
  <c r="L91" i="51"/>
  <c r="J96" i="51"/>
  <c r="H16" i="54"/>
  <c r="T16" i="55"/>
  <c r="R19" i="55"/>
  <c r="T17" i="56"/>
  <c r="V30" i="56"/>
  <c r="V34" i="56"/>
  <c r="V38" i="56"/>
  <c r="J42" i="56"/>
  <c r="V46" i="56"/>
  <c r="J52" i="56"/>
  <c r="R55" i="56"/>
  <c r="R56" i="56"/>
  <c r="V58" i="56"/>
  <c r="R63" i="56"/>
  <c r="V70" i="56"/>
  <c r="J78" i="56"/>
  <c r="J80" i="56"/>
  <c r="R84" i="56"/>
  <c r="R87" i="56"/>
  <c r="V70" i="57"/>
  <c r="V71" i="57"/>
  <c r="V74" i="57"/>
  <c r="V72" i="57"/>
  <c r="H17" i="57"/>
  <c r="J30" i="57"/>
  <c r="V32" i="57"/>
  <c r="V36" i="57"/>
  <c r="V40" i="57"/>
  <c r="X43" i="57"/>
  <c r="V52" i="57"/>
  <c r="J62" i="57"/>
  <c r="R44" i="58"/>
  <c r="R48" i="58"/>
  <c r="R66" i="58"/>
  <c r="Z69" i="58"/>
  <c r="N59" i="59"/>
  <c r="L59" i="59"/>
  <c r="J63" i="51"/>
  <c r="J67" i="51"/>
  <c r="J71" i="51"/>
  <c r="J81" i="51"/>
  <c r="J95" i="51"/>
  <c r="J16" i="54"/>
  <c r="J18" i="54"/>
  <c r="J20" i="54"/>
  <c r="R26" i="54"/>
  <c r="R28" i="54"/>
  <c r="R29" i="54"/>
  <c r="R31" i="54"/>
  <c r="V14" i="55"/>
  <c r="V16" i="55"/>
  <c r="V18" i="55"/>
  <c r="V15" i="56"/>
  <c r="V17" i="56"/>
  <c r="V19" i="56"/>
  <c r="J23" i="56"/>
  <c r="R24" i="56"/>
  <c r="J27" i="56"/>
  <c r="R28" i="56"/>
  <c r="J41" i="56"/>
  <c r="R44" i="56"/>
  <c r="R45" i="56"/>
  <c r="J51" i="56"/>
  <c r="V55" i="56"/>
  <c r="V63" i="56"/>
  <c r="V71" i="56"/>
  <c r="R82" i="56"/>
  <c r="J15" i="57"/>
  <c r="J17" i="57"/>
  <c r="J19" i="57"/>
  <c r="J21" i="57"/>
  <c r="J25" i="57"/>
  <c r="J29" i="57"/>
  <c r="V41" i="57"/>
  <c r="V49" i="57"/>
  <c r="V57" i="57"/>
  <c r="J61" i="57"/>
  <c r="V65" i="57"/>
  <c r="V78" i="57"/>
  <c r="N54" i="58"/>
  <c r="R56" i="58"/>
  <c r="P16" i="59"/>
  <c r="Z42" i="60"/>
  <c r="X15" i="64"/>
  <c r="P12" i="64"/>
  <c r="J36" i="51"/>
  <c r="J40" i="51"/>
  <c r="J44" i="51"/>
  <c r="J62" i="51"/>
  <c r="J80" i="51"/>
  <c r="X12" i="55"/>
  <c r="R28" i="55"/>
  <c r="V24" i="56"/>
  <c r="V28" i="56"/>
  <c r="J32" i="56"/>
  <c r="R33" i="56"/>
  <c r="J36" i="56"/>
  <c r="R37" i="56"/>
  <c r="J40" i="56"/>
  <c r="V44" i="56"/>
  <c r="J50" i="56"/>
  <c r="R53" i="56"/>
  <c r="R54" i="56"/>
  <c r="V56" i="56"/>
  <c r="J60" i="56"/>
  <c r="R61" i="56"/>
  <c r="R62" i="56"/>
  <c r="J68" i="56"/>
  <c r="R69" i="56"/>
  <c r="J76" i="56"/>
  <c r="V82" i="56"/>
  <c r="V84" i="56"/>
  <c r="V87" i="56"/>
  <c r="Z12" i="57"/>
  <c r="J20" i="57"/>
  <c r="V22" i="57"/>
  <c r="V26" i="57"/>
  <c r="J34" i="57"/>
  <c r="J38" i="57"/>
  <c r="J46" i="57"/>
  <c r="V50" i="57"/>
  <c r="J54" i="57"/>
  <c r="V58" i="57"/>
  <c r="V66" i="57"/>
  <c r="X71" i="57"/>
  <c r="P69" i="57"/>
  <c r="X69" i="57" s="1"/>
  <c r="R55" i="58"/>
  <c r="R71" i="58"/>
  <c r="R70" i="58"/>
  <c r="R63" i="58"/>
  <c r="R62" i="58"/>
  <c r="R47" i="58"/>
  <c r="R46" i="58"/>
  <c r="R38" i="58"/>
  <c r="R34" i="58"/>
  <c r="R30" i="58"/>
  <c r="R29" i="58"/>
  <c r="R25" i="58"/>
  <c r="R21" i="58"/>
  <c r="R72" i="58"/>
  <c r="R76" i="58"/>
  <c r="R74" i="58"/>
  <c r="R39" i="58"/>
  <c r="R35" i="58"/>
  <c r="R31" i="58"/>
  <c r="R51" i="58"/>
  <c r="R50" i="58"/>
  <c r="R26" i="58"/>
  <c r="R22" i="58"/>
  <c r="R65" i="58"/>
  <c r="R58" i="58"/>
  <c r="R57" i="58"/>
  <c r="R78" i="58"/>
  <c r="R52" i="58"/>
  <c r="R41" i="58"/>
  <c r="R40" i="58"/>
  <c r="R36" i="58"/>
  <c r="R32" i="58"/>
  <c r="X12" i="58"/>
  <c r="R83" i="58"/>
  <c r="R80" i="58"/>
  <c r="R59" i="58"/>
  <c r="R27" i="58"/>
  <c r="R23" i="58"/>
  <c r="R54" i="58"/>
  <c r="R53" i="58"/>
  <c r="R37" i="58"/>
  <c r="R33" i="58"/>
  <c r="R18" i="58"/>
  <c r="R16" i="58"/>
  <c r="R14" i="58"/>
  <c r="P16" i="58"/>
  <c r="T16" i="59"/>
  <c r="R39" i="61"/>
  <c r="R64" i="67"/>
  <c r="R63" i="67"/>
  <c r="R76" i="67"/>
  <c r="R47" i="67"/>
  <c r="R46" i="67"/>
  <c r="R42" i="67"/>
  <c r="R38" i="67"/>
  <c r="R19" i="67"/>
  <c r="R81" i="67"/>
  <c r="R78" i="67"/>
  <c r="R65" i="67"/>
  <c r="R58" i="67"/>
  <c r="R57" i="67"/>
  <c r="R33" i="67"/>
  <c r="R29" i="67"/>
  <c r="R49" i="67"/>
  <c r="R48" i="67"/>
  <c r="R20" i="67"/>
  <c r="R67" i="67"/>
  <c r="R66" i="67"/>
  <c r="R51" i="67"/>
  <c r="R50" i="67"/>
  <c r="R34" i="67"/>
  <c r="R30" i="67"/>
  <c r="R36" i="67"/>
  <c r="R35" i="67"/>
  <c r="R31" i="67"/>
  <c r="R27" i="67"/>
  <c r="P23" i="67"/>
  <c r="R74" i="67"/>
  <c r="R72" i="67"/>
  <c r="R45" i="67"/>
  <c r="R41" i="67"/>
  <c r="R37" i="67"/>
  <c r="R56" i="67"/>
  <c r="R61" i="67"/>
  <c r="R40" i="67"/>
  <c r="R25" i="67"/>
  <c r="R54" i="67"/>
  <c r="R59" i="67"/>
  <c r="R21" i="67"/>
  <c r="R70" i="67"/>
  <c r="R43" i="67"/>
  <c r="X12" i="67"/>
  <c r="R68" i="67"/>
  <c r="R53" i="67"/>
  <c r="R44" i="67"/>
  <c r="R69" i="67"/>
  <c r="R23" i="67"/>
  <c r="R52" i="67"/>
  <c r="R39" i="67"/>
  <c r="R55" i="67"/>
  <c r="R28" i="67"/>
  <c r="R26" i="67"/>
  <c r="R60" i="67"/>
  <c r="R62" i="67"/>
  <c r="R32" i="67"/>
  <c r="J53" i="51"/>
  <c r="J57" i="51"/>
  <c r="J61" i="51"/>
  <c r="J79" i="51"/>
  <c r="X84" i="51"/>
  <c r="J89" i="51"/>
  <c r="J107" i="51"/>
  <c r="Z12" i="55"/>
  <c r="V28" i="55"/>
  <c r="F35" i="55"/>
  <c r="V33" i="56"/>
  <c r="V37" i="56"/>
  <c r="R42" i="56"/>
  <c r="R43" i="56"/>
  <c r="V45" i="56"/>
  <c r="J49" i="56"/>
  <c r="V53" i="56"/>
  <c r="V61" i="56"/>
  <c r="J67" i="56"/>
  <c r="V69" i="56"/>
  <c r="J75" i="56"/>
  <c r="V31" i="57"/>
  <c r="V35" i="57"/>
  <c r="V39" i="57"/>
  <c r="J45" i="57"/>
  <c r="V47" i="57"/>
  <c r="V55" i="57"/>
  <c r="V63" i="57"/>
  <c r="J70" i="57"/>
  <c r="Z54" i="58"/>
  <c r="R64" i="58"/>
  <c r="F53" i="61"/>
  <c r="X43" i="62"/>
  <c r="Z43" i="62" s="1"/>
  <c r="J66" i="51"/>
  <c r="J70" i="51"/>
  <c r="J78" i="51"/>
  <c r="J88" i="51"/>
  <c r="J94" i="51"/>
  <c r="P16" i="54"/>
  <c r="F21" i="55"/>
  <c r="F22" i="55"/>
  <c r="R26" i="55"/>
  <c r="R27" i="55"/>
  <c r="F31" i="55"/>
  <c r="N12" i="56"/>
  <c r="J22" i="56"/>
  <c r="R23" i="56"/>
  <c r="J26" i="56"/>
  <c r="R27" i="56"/>
  <c r="V42" i="56"/>
  <c r="J48" i="56"/>
  <c r="R51" i="56"/>
  <c r="R52" i="56"/>
  <c r="V54" i="56"/>
  <c r="V62" i="56"/>
  <c r="J66" i="56"/>
  <c r="J74" i="56"/>
  <c r="R78" i="56"/>
  <c r="R80" i="56"/>
  <c r="J24" i="57"/>
  <c r="J28" i="57"/>
  <c r="J44" i="57"/>
  <c r="V48" i="57"/>
  <c r="V56" i="57"/>
  <c r="J60" i="57"/>
  <c r="V64" i="57"/>
  <c r="N45" i="58"/>
  <c r="R68" i="58"/>
  <c r="R71" i="59"/>
  <c r="R69" i="59"/>
  <c r="R59" i="59"/>
  <c r="R58" i="59"/>
  <c r="R61" i="59"/>
  <c r="R60" i="59"/>
  <c r="R44" i="59"/>
  <c r="R78" i="59"/>
  <c r="R75" i="59"/>
  <c r="R62" i="59"/>
  <c r="R54" i="59"/>
  <c r="R73" i="59"/>
  <c r="R66" i="59"/>
  <c r="R42" i="59"/>
  <c r="R55" i="59"/>
  <c r="R53" i="59"/>
  <c r="R50" i="59"/>
  <c r="R38" i="59"/>
  <c r="R34" i="59"/>
  <c r="R46" i="59"/>
  <c r="R43" i="59"/>
  <c r="R30" i="59"/>
  <c r="R29" i="59"/>
  <c r="R25" i="59"/>
  <c r="R21" i="59"/>
  <c r="R63" i="59"/>
  <c r="R56" i="59"/>
  <c r="R39" i="59"/>
  <c r="R35" i="59"/>
  <c r="R31" i="59"/>
  <c r="R67" i="59"/>
  <c r="R51" i="59"/>
  <c r="R47" i="59"/>
  <c r="R26" i="59"/>
  <c r="R22" i="59"/>
  <c r="R64" i="59"/>
  <c r="R48" i="59"/>
  <c r="R40" i="59"/>
  <c r="R36" i="59"/>
  <c r="R32" i="59"/>
  <c r="X12" i="59"/>
  <c r="R57" i="59"/>
  <c r="R52" i="59"/>
  <c r="R41" i="59"/>
  <c r="R27" i="59"/>
  <c r="R23" i="59"/>
  <c r="R37" i="59"/>
  <c r="R33" i="59"/>
  <c r="R18" i="59"/>
  <c r="R16" i="59"/>
  <c r="R14" i="59"/>
  <c r="Z69" i="59"/>
  <c r="X69" i="59"/>
  <c r="R51" i="61"/>
  <c r="J35" i="51"/>
  <c r="J39" i="51"/>
  <c r="J43" i="51"/>
  <c r="H48" i="51"/>
  <c r="J77" i="51"/>
  <c r="J87" i="51"/>
  <c r="R14" i="54"/>
  <c r="R16" i="54"/>
  <c r="R18" i="54"/>
  <c r="R20" i="54"/>
  <c r="V23" i="56"/>
  <c r="V27" i="56"/>
  <c r="J31" i="56"/>
  <c r="R32" i="56"/>
  <c r="J35" i="56"/>
  <c r="R36" i="56"/>
  <c r="J39" i="56"/>
  <c r="R40" i="56"/>
  <c r="R41" i="56"/>
  <c r="V43" i="56"/>
  <c r="J47" i="56"/>
  <c r="V51" i="56"/>
  <c r="J59" i="56"/>
  <c r="R60" i="56"/>
  <c r="J65" i="56"/>
  <c r="R68" i="56"/>
  <c r="J73" i="56"/>
  <c r="R76" i="56"/>
  <c r="V21" i="57"/>
  <c r="V25" i="57"/>
  <c r="V29" i="57"/>
  <c r="J33" i="57"/>
  <c r="J37" i="57"/>
  <c r="J43" i="57"/>
  <c r="J53" i="57"/>
  <c r="V61" i="57"/>
  <c r="J69" i="57"/>
  <c r="L14" i="58"/>
  <c r="L18" i="58"/>
  <c r="N18" i="58" s="1"/>
  <c r="R19" i="58"/>
  <c r="R43" i="58"/>
  <c r="Z16" i="60"/>
  <c r="T58" i="60"/>
  <c r="L53" i="62"/>
  <c r="N53" i="62" s="1"/>
  <c r="J48" i="51"/>
  <c r="J50" i="51"/>
  <c r="J52" i="51"/>
  <c r="J56" i="51"/>
  <c r="J60" i="51"/>
  <c r="J76" i="51"/>
  <c r="J86" i="51"/>
  <c r="R24" i="55"/>
  <c r="R25" i="55"/>
  <c r="R37" i="55"/>
  <c r="H17" i="56"/>
  <c r="J30" i="56"/>
  <c r="V32" i="56"/>
  <c r="V36" i="56"/>
  <c r="V40" i="56"/>
  <c r="R49" i="56"/>
  <c r="V52" i="56"/>
  <c r="J58" i="56"/>
  <c r="V60" i="56"/>
  <c r="J64" i="56"/>
  <c r="V68" i="56"/>
  <c r="V76" i="56"/>
  <c r="V78" i="56"/>
  <c r="T17" i="57"/>
  <c r="V30" i="57"/>
  <c r="V34" i="57"/>
  <c r="V38" i="57"/>
  <c r="J42" i="57"/>
  <c r="V46" i="57"/>
  <c r="J52" i="57"/>
  <c r="V54" i="57"/>
  <c r="V62" i="57"/>
  <c r="V81" i="57"/>
  <c r="X18" i="59"/>
  <c r="Z18" i="59" s="1"/>
  <c r="Z30" i="65"/>
  <c r="X30" i="65"/>
  <c r="V24" i="58"/>
  <c r="V28" i="58"/>
  <c r="J32" i="58"/>
  <c r="J36" i="58"/>
  <c r="J40" i="58"/>
  <c r="V44" i="58"/>
  <c r="J52" i="58"/>
  <c r="F57" i="58"/>
  <c r="J58" i="58"/>
  <c r="V60" i="58"/>
  <c r="F65" i="58"/>
  <c r="V68" i="58"/>
  <c r="F74" i="58"/>
  <c r="F76" i="58"/>
  <c r="J78" i="58"/>
  <c r="V24" i="59"/>
  <c r="V28" i="59"/>
  <c r="J32" i="59"/>
  <c r="J36" i="59"/>
  <c r="J40" i="59"/>
  <c r="J48" i="59"/>
  <c r="J54" i="59"/>
  <c r="V62" i="59"/>
  <c r="J64" i="59"/>
  <c r="R22" i="60"/>
  <c r="Z40" i="60"/>
  <c r="N44" i="60"/>
  <c r="R50" i="60"/>
  <c r="T60" i="61"/>
  <c r="Z16" i="61"/>
  <c r="V14" i="58"/>
  <c r="V16" i="58"/>
  <c r="V18" i="58"/>
  <c r="J22" i="58"/>
  <c r="J26" i="58"/>
  <c r="F30" i="58"/>
  <c r="F31" i="58"/>
  <c r="F35" i="58"/>
  <c r="F39" i="58"/>
  <c r="V42" i="58"/>
  <c r="J50" i="58"/>
  <c r="V54" i="58"/>
  <c r="V66" i="58"/>
  <c r="J74" i="58"/>
  <c r="J76" i="58"/>
  <c r="V61" i="59"/>
  <c r="V53" i="59"/>
  <c r="V78" i="59"/>
  <c r="V75" i="59"/>
  <c r="V73" i="59"/>
  <c r="V45" i="59"/>
  <c r="V63" i="59"/>
  <c r="V55" i="59"/>
  <c r="V47" i="59"/>
  <c r="V65" i="59"/>
  <c r="V57" i="59"/>
  <c r="V49" i="59"/>
  <c r="V71" i="59"/>
  <c r="V69" i="59"/>
  <c r="V67" i="59"/>
  <c r="V59" i="59"/>
  <c r="V51" i="59"/>
  <c r="V14" i="59"/>
  <c r="V16" i="59"/>
  <c r="V18" i="59"/>
  <c r="J22" i="59"/>
  <c r="J26" i="59"/>
  <c r="F30" i="59"/>
  <c r="F31" i="59"/>
  <c r="F35" i="59"/>
  <c r="F39" i="59"/>
  <c r="F47" i="59"/>
  <c r="N18" i="60"/>
  <c r="R24" i="60"/>
  <c r="R52" i="60"/>
  <c r="H58" i="60"/>
  <c r="N18" i="61"/>
  <c r="L17" i="70"/>
  <c r="D12" i="70"/>
  <c r="V19" i="58"/>
  <c r="V23" i="58"/>
  <c r="V27" i="58"/>
  <c r="J31" i="58"/>
  <c r="J35" i="58"/>
  <c r="J39" i="58"/>
  <c r="V43" i="58"/>
  <c r="F47" i="58"/>
  <c r="F48" i="58"/>
  <c r="J49" i="58"/>
  <c r="F56" i="58"/>
  <c r="V59" i="58"/>
  <c r="F63" i="58"/>
  <c r="F64" i="58"/>
  <c r="V67" i="58"/>
  <c r="F71" i="58"/>
  <c r="F72" i="58"/>
  <c r="V19" i="59"/>
  <c r="V23" i="59"/>
  <c r="V27" i="59"/>
  <c r="J31" i="59"/>
  <c r="J35" i="59"/>
  <c r="J39" i="59"/>
  <c r="Z41" i="59"/>
  <c r="F46" i="59"/>
  <c r="F50" i="59"/>
  <c r="F51" i="59"/>
  <c r="V54" i="59"/>
  <c r="J56" i="59"/>
  <c r="N61" i="59"/>
  <c r="F67" i="59"/>
  <c r="F18" i="60"/>
  <c r="F16" i="60"/>
  <c r="F14" i="60"/>
  <c r="F25" i="60"/>
  <c r="F21" i="60"/>
  <c r="F58" i="60"/>
  <c r="F56" i="60"/>
  <c r="F39" i="60"/>
  <c r="F35" i="60"/>
  <c r="F31" i="60"/>
  <c r="F60" i="60"/>
  <c r="F50" i="60"/>
  <c r="F49" i="60"/>
  <c r="F41" i="60"/>
  <c r="F40" i="60"/>
  <c r="F65" i="60"/>
  <c r="F62" i="60"/>
  <c r="F51" i="60"/>
  <c r="F43" i="60"/>
  <c r="F42" i="60"/>
  <c r="F27" i="60"/>
  <c r="F23" i="60"/>
  <c r="F45" i="60"/>
  <c r="F44" i="60"/>
  <c r="F37" i="60"/>
  <c r="F33" i="60"/>
  <c r="R19" i="60"/>
  <c r="R26" i="60"/>
  <c r="R29" i="60"/>
  <c r="F36" i="60"/>
  <c r="Z44" i="60"/>
  <c r="R47" i="60"/>
  <c r="X46" i="61"/>
  <c r="Z46" i="61" s="1"/>
  <c r="J48" i="58"/>
  <c r="V52" i="58"/>
  <c r="J56" i="58"/>
  <c r="J64" i="58"/>
  <c r="J72" i="58"/>
  <c r="V78" i="58"/>
  <c r="V80" i="58"/>
  <c r="V83" i="58"/>
  <c r="F25" i="59"/>
  <c r="F29" i="59"/>
  <c r="V40" i="59"/>
  <c r="V41" i="59"/>
  <c r="V44" i="59"/>
  <c r="V52" i="59"/>
  <c r="Z59" i="59"/>
  <c r="F63" i="59"/>
  <c r="F66" i="59"/>
  <c r="R34" i="60"/>
  <c r="R46" i="60"/>
  <c r="F54" i="60"/>
  <c r="Z57" i="62"/>
  <c r="J21" i="58"/>
  <c r="J25" i="58"/>
  <c r="J29" i="58"/>
  <c r="F34" i="58"/>
  <c r="F38" i="58"/>
  <c r="V41" i="58"/>
  <c r="F45" i="58"/>
  <c r="F46" i="58"/>
  <c r="J47" i="58"/>
  <c r="V57" i="58"/>
  <c r="F61" i="58"/>
  <c r="F62" i="58"/>
  <c r="J63" i="58"/>
  <c r="V65" i="58"/>
  <c r="F69" i="58"/>
  <c r="F70" i="58"/>
  <c r="J71" i="58"/>
  <c r="D16" i="59"/>
  <c r="F34" i="59"/>
  <c r="F38" i="59"/>
  <c r="J46" i="59"/>
  <c r="V48" i="59"/>
  <c r="J50" i="59"/>
  <c r="J58" i="59"/>
  <c r="V64" i="59"/>
  <c r="R28" i="60"/>
  <c r="R49" i="60"/>
  <c r="X18" i="61"/>
  <c r="Z18" i="61" s="1"/>
  <c r="Z21" i="65"/>
  <c r="V26" i="58"/>
  <c r="J34" i="58"/>
  <c r="J38" i="58"/>
  <c r="J46" i="58"/>
  <c r="V50" i="58"/>
  <c r="F54" i="58"/>
  <c r="F55" i="58"/>
  <c r="V58" i="58"/>
  <c r="J62" i="58"/>
  <c r="J70" i="58"/>
  <c r="Z61" i="59"/>
  <c r="J66" i="59"/>
  <c r="Z18" i="60"/>
  <c r="R36" i="60"/>
  <c r="L40" i="61"/>
  <c r="N40" i="61" s="1"/>
  <c r="V97" i="66"/>
  <c r="V89" i="66"/>
  <c r="V81" i="66"/>
  <c r="V65" i="66"/>
  <c r="V61" i="66"/>
  <c r="V57" i="66"/>
  <c r="V114" i="66"/>
  <c r="V112" i="66"/>
  <c r="V104" i="66"/>
  <c r="V80" i="66"/>
  <c r="V56" i="66"/>
  <c r="V54" i="66"/>
  <c r="V52" i="66"/>
  <c r="V48" i="66"/>
  <c r="V44" i="66"/>
  <c r="V40" i="66"/>
  <c r="V36" i="66"/>
  <c r="V115" i="66"/>
  <c r="V99" i="66"/>
  <c r="V91" i="66"/>
  <c r="V75" i="66"/>
  <c r="V71" i="66"/>
  <c r="T54" i="66"/>
  <c r="V116" i="66"/>
  <c r="V106" i="66"/>
  <c r="V98" i="66"/>
  <c r="V90" i="66"/>
  <c r="V82" i="66"/>
  <c r="V66" i="66"/>
  <c r="V62" i="66"/>
  <c r="V58" i="66"/>
  <c r="V100" i="66"/>
  <c r="V92" i="66"/>
  <c r="V84" i="66"/>
  <c r="V76" i="66"/>
  <c r="V72" i="66"/>
  <c r="V68" i="66"/>
  <c r="V121" i="66"/>
  <c r="V109" i="66"/>
  <c r="V101" i="66"/>
  <c r="V93" i="66"/>
  <c r="V85" i="66"/>
  <c r="V77" i="66"/>
  <c r="V73" i="66"/>
  <c r="V69" i="66"/>
  <c r="V111" i="66"/>
  <c r="V103" i="66"/>
  <c r="V95" i="66"/>
  <c r="V87" i="66"/>
  <c r="V79" i="66"/>
  <c r="V51" i="66"/>
  <c r="V47" i="66"/>
  <c r="V43" i="66"/>
  <c r="V39" i="66"/>
  <c r="V110" i="66"/>
  <c r="V86" i="66"/>
  <c r="V78" i="66"/>
  <c r="V83" i="66"/>
  <c r="V63" i="66"/>
  <c r="V59" i="66"/>
  <c r="V46" i="66"/>
  <c r="V74" i="66"/>
  <c r="V67" i="66"/>
  <c r="V108" i="66"/>
  <c r="V102" i="66"/>
  <c r="V70" i="66"/>
  <c r="V42" i="66"/>
  <c r="V38" i="66"/>
  <c r="V45" i="66"/>
  <c r="V41" i="66"/>
  <c r="V105" i="66"/>
  <c r="V88" i="66"/>
  <c r="V50" i="66"/>
  <c r="V37" i="66"/>
  <c r="V64" i="66"/>
  <c r="V94" i="66"/>
  <c r="V96" i="66"/>
  <c r="V49" i="66"/>
  <c r="V117" i="66"/>
  <c r="V107" i="66"/>
  <c r="V60" i="66"/>
  <c r="H16" i="59"/>
  <c r="F53" i="59"/>
  <c r="F55" i="59"/>
  <c r="F73" i="59"/>
  <c r="R40" i="60"/>
  <c r="R39" i="60"/>
  <c r="R35" i="60"/>
  <c r="R31" i="60"/>
  <c r="R65" i="60"/>
  <c r="R62" i="60"/>
  <c r="R42" i="60"/>
  <c r="R41" i="60"/>
  <c r="R51" i="60"/>
  <c r="R44" i="60"/>
  <c r="R43" i="60"/>
  <c r="R27" i="60"/>
  <c r="R23" i="60"/>
  <c r="R45" i="60"/>
  <c r="R37" i="60"/>
  <c r="R33" i="60"/>
  <c r="R18" i="60"/>
  <c r="R16" i="60"/>
  <c r="R14" i="60"/>
  <c r="R58" i="60"/>
  <c r="R56" i="60"/>
  <c r="R25" i="60"/>
  <c r="R21" i="60"/>
  <c r="X15" i="65"/>
  <c r="P18" i="65"/>
  <c r="J14" i="58"/>
  <c r="J16" i="58"/>
  <c r="J18" i="58"/>
  <c r="J20" i="58"/>
  <c r="J24" i="58"/>
  <c r="J28" i="58"/>
  <c r="F33" i="58"/>
  <c r="F37" i="58"/>
  <c r="J44" i="58"/>
  <c r="V48" i="58"/>
  <c r="F53" i="58"/>
  <c r="J54" i="58"/>
  <c r="V56" i="58"/>
  <c r="J60" i="58"/>
  <c r="V64" i="58"/>
  <c r="J68" i="58"/>
  <c r="V72" i="58"/>
  <c r="V74" i="58"/>
  <c r="V76" i="58"/>
  <c r="F80" i="58"/>
  <c r="F83" i="58"/>
  <c r="J14" i="59"/>
  <c r="J16" i="59"/>
  <c r="J18" i="59"/>
  <c r="J20" i="59"/>
  <c r="J24" i="59"/>
  <c r="J28" i="59"/>
  <c r="F33" i="59"/>
  <c r="F37" i="59"/>
  <c r="F45" i="59"/>
  <c r="F49" i="59"/>
  <c r="V56" i="59"/>
  <c r="V58" i="59"/>
  <c r="F30" i="60"/>
  <c r="Z14" i="61"/>
  <c r="X14" i="61"/>
  <c r="X46" i="62"/>
  <c r="Z46" i="62" s="1"/>
  <c r="X71" i="64"/>
  <c r="Z71" i="64" s="1"/>
  <c r="L13" i="66"/>
  <c r="N13" i="66" s="1"/>
  <c r="D12" i="66"/>
  <c r="J19" i="58"/>
  <c r="V21" i="58"/>
  <c r="V25" i="58"/>
  <c r="V29" i="58"/>
  <c r="J33" i="58"/>
  <c r="J37" i="58"/>
  <c r="F41" i="58"/>
  <c r="F42" i="58"/>
  <c r="J43" i="58"/>
  <c r="V49" i="58"/>
  <c r="J53" i="58"/>
  <c r="F66" i="58"/>
  <c r="J67" i="58"/>
  <c r="F58" i="59"/>
  <c r="F42" i="59"/>
  <c r="F41" i="59"/>
  <c r="F71" i="59"/>
  <c r="F69" i="59"/>
  <c r="F60" i="59"/>
  <c r="F59" i="59"/>
  <c r="F44" i="59"/>
  <c r="F43" i="59"/>
  <c r="F62" i="59"/>
  <c r="F61" i="59"/>
  <c r="F54" i="59"/>
  <c r="F78" i="59"/>
  <c r="F75" i="59"/>
  <c r="J33" i="59"/>
  <c r="J37" i="59"/>
  <c r="Z43" i="59"/>
  <c r="F52" i="59"/>
  <c r="X12" i="60"/>
  <c r="R38" i="60"/>
  <c r="R48" i="60"/>
  <c r="R60" i="60"/>
  <c r="F23" i="58"/>
  <c r="F27" i="58"/>
  <c r="V30" i="58"/>
  <c r="V34" i="58"/>
  <c r="V38" i="58"/>
  <c r="J42" i="58"/>
  <c r="V46" i="58"/>
  <c r="F58" i="58"/>
  <c r="V62" i="58"/>
  <c r="J66" i="58"/>
  <c r="J80" i="58"/>
  <c r="J65" i="59"/>
  <c r="J57" i="59"/>
  <c r="J49" i="59"/>
  <c r="J67" i="59"/>
  <c r="J51" i="59"/>
  <c r="J71" i="59"/>
  <c r="J69" i="59"/>
  <c r="J59" i="59"/>
  <c r="J53" i="59"/>
  <c r="J43" i="59"/>
  <c r="J73" i="59"/>
  <c r="J61" i="59"/>
  <c r="J78" i="59"/>
  <c r="J75" i="59"/>
  <c r="J45" i="59"/>
  <c r="J63" i="59"/>
  <c r="J55" i="59"/>
  <c r="J47" i="59"/>
  <c r="F23" i="59"/>
  <c r="F27" i="59"/>
  <c r="V30" i="59"/>
  <c r="V34" i="59"/>
  <c r="V38" i="59"/>
  <c r="J41" i="59"/>
  <c r="V43" i="59"/>
  <c r="V46" i="59"/>
  <c r="F48" i="59"/>
  <c r="V60" i="59"/>
  <c r="F64" i="59"/>
  <c r="P16" i="60"/>
  <c r="F19" i="60"/>
  <c r="F22" i="60"/>
  <c r="F29" i="60"/>
  <c r="F32" i="60"/>
  <c r="L42" i="60"/>
  <c r="L56" i="60"/>
  <c r="H16" i="61"/>
  <c r="X41" i="62"/>
  <c r="T78" i="67"/>
  <c r="J20" i="60"/>
  <c r="J24" i="60"/>
  <c r="J28" i="60"/>
  <c r="V40" i="60"/>
  <c r="V48" i="60"/>
  <c r="J52" i="60"/>
  <c r="J30" i="61"/>
  <c r="J36" i="61"/>
  <c r="J50" i="61"/>
  <c r="J56" i="61"/>
  <c r="Z19" i="62"/>
  <c r="F25" i="62"/>
  <c r="F30" i="62"/>
  <c r="N43" i="62"/>
  <c r="V57" i="62"/>
  <c r="V62" i="62"/>
  <c r="F73" i="62"/>
  <c r="F78" i="62"/>
  <c r="N88" i="62"/>
  <c r="L88" i="62"/>
  <c r="F91" i="62"/>
  <c r="Z67" i="64"/>
  <c r="Z109" i="69"/>
  <c r="V109" i="69"/>
  <c r="X109" i="69"/>
  <c r="V30" i="60"/>
  <c r="V34" i="60"/>
  <c r="V38" i="60"/>
  <c r="J44" i="60"/>
  <c r="V46" i="60"/>
  <c r="V54" i="60"/>
  <c r="V56" i="60"/>
  <c r="V58" i="60"/>
  <c r="J14" i="61"/>
  <c r="J16" i="61"/>
  <c r="J18" i="61"/>
  <c r="J20" i="61"/>
  <c r="J24" i="61"/>
  <c r="J28" i="61"/>
  <c r="V43" i="61"/>
  <c r="V62" i="61"/>
  <c r="V87" i="62"/>
  <c r="V75" i="62"/>
  <c r="V63" i="62"/>
  <c r="V51" i="62"/>
  <c r="V43" i="62"/>
  <c r="V27" i="62"/>
  <c r="V23" i="62"/>
  <c r="V19" i="62"/>
  <c r="V90" i="62"/>
  <c r="V82" i="62"/>
  <c r="V78" i="62"/>
  <c r="V70" i="62"/>
  <c r="V89" i="62"/>
  <c r="V77" i="62"/>
  <c r="V65" i="62"/>
  <c r="V53" i="62"/>
  <c r="V37" i="62"/>
  <c r="V33" i="62"/>
  <c r="T16" i="62"/>
  <c r="V107" i="62"/>
  <c r="V104" i="62"/>
  <c r="V102" i="62"/>
  <c r="V72" i="62"/>
  <c r="V91" i="62"/>
  <c r="V83" i="62"/>
  <c r="V79" i="62"/>
  <c r="V71" i="62"/>
  <c r="V67" i="62"/>
  <c r="V55" i="62"/>
  <c r="V66" i="62"/>
  <c r="V54" i="62"/>
  <c r="V46" i="62"/>
  <c r="V38" i="62"/>
  <c r="V34" i="62"/>
  <c r="V30" i="62"/>
  <c r="V59" i="62"/>
  <c r="V47" i="62"/>
  <c r="V39" i="62"/>
  <c r="V35" i="62"/>
  <c r="V31" i="62"/>
  <c r="V97" i="62"/>
  <c r="V85" i="62"/>
  <c r="V81" i="62"/>
  <c r="V69" i="62"/>
  <c r="V61" i="62"/>
  <c r="V49" i="62"/>
  <c r="V41" i="62"/>
  <c r="V100" i="62"/>
  <c r="V98" i="62"/>
  <c r="V88" i="62"/>
  <c r="F16" i="62"/>
  <c r="N51" i="62"/>
  <c r="N61" i="62"/>
  <c r="V84" i="62"/>
  <c r="F90" i="62"/>
  <c r="D96" i="62"/>
  <c r="L96" i="62" s="1"/>
  <c r="N96" i="62" s="1"/>
  <c r="V42" i="64"/>
  <c r="Z79" i="64"/>
  <c r="L81" i="66"/>
  <c r="J26" i="67"/>
  <c r="L26" i="67"/>
  <c r="N26" i="67" s="1"/>
  <c r="N81" i="66"/>
  <c r="J81" i="66"/>
  <c r="J20" i="78"/>
  <c r="H28" i="78"/>
  <c r="V24" i="60"/>
  <c r="V28" i="60"/>
  <c r="J32" i="60"/>
  <c r="J36" i="60"/>
  <c r="J42" i="60"/>
  <c r="V52" i="60"/>
  <c r="J62" i="60"/>
  <c r="J65" i="60"/>
  <c r="J47" i="61"/>
  <c r="J49" i="61"/>
  <c r="J67" i="61"/>
  <c r="J64" i="61"/>
  <c r="J52" i="61"/>
  <c r="J40" i="61"/>
  <c r="J43" i="61"/>
  <c r="J55" i="61"/>
  <c r="J45" i="61"/>
  <c r="J37" i="61"/>
  <c r="J33" i="61"/>
  <c r="J35" i="61"/>
  <c r="F42" i="62"/>
  <c r="V45" i="62"/>
  <c r="V56" i="62"/>
  <c r="L63" i="62"/>
  <c r="F77" i="62"/>
  <c r="V80" i="62"/>
  <c r="X93" i="62"/>
  <c r="Z93" i="62" s="1"/>
  <c r="V68" i="64"/>
  <c r="V94" i="64"/>
  <c r="X109" i="66"/>
  <c r="Z109" i="66" s="1"/>
  <c r="X69" i="73"/>
  <c r="Z69" i="73"/>
  <c r="V69" i="73"/>
  <c r="F14" i="62"/>
  <c r="P16" i="62"/>
  <c r="F39" i="62"/>
  <c r="Z51" i="62"/>
  <c r="N63" i="62"/>
  <c r="F70" i="62"/>
  <c r="F72" i="62"/>
  <c r="F83" i="62"/>
  <c r="D12" i="64"/>
  <c r="V45" i="64"/>
  <c r="D12" i="65"/>
  <c r="L13" i="65"/>
  <c r="V74" i="70"/>
  <c r="V14" i="60"/>
  <c r="V16" i="60"/>
  <c r="V18" i="60"/>
  <c r="J22" i="60"/>
  <c r="J26" i="60"/>
  <c r="J40" i="60"/>
  <c r="J50" i="60"/>
  <c r="J60" i="60"/>
  <c r="N12" i="61"/>
  <c r="V24" i="61"/>
  <c r="V28" i="61"/>
  <c r="J41" i="61"/>
  <c r="V32" i="62"/>
  <c r="F47" i="62"/>
  <c r="F50" i="62"/>
  <c r="N55" i="62"/>
  <c r="Z61" i="62"/>
  <c r="F89" i="62"/>
  <c r="V93" i="62"/>
  <c r="L14" i="64"/>
  <c r="Z41" i="65"/>
  <c r="X41" i="65"/>
  <c r="N46" i="73"/>
  <c r="L46" i="73"/>
  <c r="F76" i="62"/>
  <c r="F100" i="62"/>
  <c r="V44" i="60"/>
  <c r="J48" i="60"/>
  <c r="J56" i="60"/>
  <c r="J58" i="60"/>
  <c r="V51" i="61"/>
  <c r="V39" i="61"/>
  <c r="V35" i="61"/>
  <c r="V53" i="61"/>
  <c r="V41" i="61"/>
  <c r="V54" i="61"/>
  <c r="V46" i="61"/>
  <c r="V47" i="61"/>
  <c r="V49" i="61"/>
  <c r="V14" i="61"/>
  <c r="V16" i="61"/>
  <c r="V18" i="61"/>
  <c r="J22" i="61"/>
  <c r="J26" i="61"/>
  <c r="J31" i="61"/>
  <c r="V42" i="61"/>
  <c r="J44" i="61"/>
  <c r="V45" i="61"/>
  <c r="J48" i="61"/>
  <c r="J54" i="61"/>
  <c r="J58" i="61"/>
  <c r="V60" i="61"/>
  <c r="L19" i="62"/>
  <c r="N19" i="62" s="1"/>
  <c r="V22" i="62"/>
  <c r="V24" i="62"/>
  <c r="F41" i="62"/>
  <c r="V48" i="62"/>
  <c r="X53" i="62"/>
  <c r="Z53" i="62" s="1"/>
  <c r="N57" i="62"/>
  <c r="V60" i="62"/>
  <c r="Z63" i="62"/>
  <c r="L76" i="62"/>
  <c r="N76" i="62" s="1"/>
  <c r="N73" i="64"/>
  <c r="F92" i="62"/>
  <c r="F84" i="62"/>
  <c r="F80" i="62"/>
  <c r="F68" i="62"/>
  <c r="F67" i="62"/>
  <c r="F56" i="62"/>
  <c r="F55" i="62"/>
  <c r="F94" i="62"/>
  <c r="F93" i="62"/>
  <c r="F74" i="62"/>
  <c r="F58" i="62"/>
  <c r="F57" i="62"/>
  <c r="F26" i="62"/>
  <c r="F22" i="62"/>
  <c r="F85" i="62"/>
  <c r="F81" i="62"/>
  <c r="F97" i="62"/>
  <c r="F60" i="62"/>
  <c r="F59" i="62"/>
  <c r="F40" i="62"/>
  <c r="F36" i="62"/>
  <c r="F32" i="62"/>
  <c r="F98" i="62"/>
  <c r="F96" i="62"/>
  <c r="F87" i="62"/>
  <c r="F86" i="62"/>
  <c r="F75" i="62"/>
  <c r="F27" i="62"/>
  <c r="F23" i="62"/>
  <c r="F102" i="62"/>
  <c r="F64" i="62"/>
  <c r="F63" i="62"/>
  <c r="F52" i="62"/>
  <c r="F51" i="62"/>
  <c r="F44" i="62"/>
  <c r="F43" i="62"/>
  <c r="F28" i="62"/>
  <c r="F24" i="62"/>
  <c r="F20" i="62"/>
  <c r="F19" i="62"/>
  <c r="F66" i="62"/>
  <c r="F65" i="62"/>
  <c r="F54" i="62"/>
  <c r="F53" i="62"/>
  <c r="F38" i="62"/>
  <c r="F34" i="62"/>
  <c r="D16" i="62"/>
  <c r="F107" i="62"/>
  <c r="F104" i="62"/>
  <c r="F31" i="62"/>
  <c r="F46" i="62"/>
  <c r="F62" i="62"/>
  <c r="N67" i="62"/>
  <c r="V85" i="64"/>
  <c r="V73" i="64"/>
  <c r="V61" i="64"/>
  <c r="V80" i="64"/>
  <c r="V72" i="64"/>
  <c r="V64" i="64"/>
  <c r="V87" i="64"/>
  <c r="V63" i="64"/>
  <c r="V55" i="64"/>
  <c r="V51" i="64"/>
  <c r="V47" i="64"/>
  <c r="V77" i="64"/>
  <c r="V69" i="64"/>
  <c r="V57" i="64"/>
  <c r="V53" i="64"/>
  <c r="V49" i="64"/>
  <c r="V50" i="64"/>
  <c r="V35" i="64"/>
  <c r="V33" i="64"/>
  <c r="V29" i="64"/>
  <c r="V25" i="64"/>
  <c r="V66" i="64"/>
  <c r="V59" i="64"/>
  <c r="V38" i="64"/>
  <c r="V37" i="64"/>
  <c r="T35" i="64"/>
  <c r="V83" i="64"/>
  <c r="V56" i="64"/>
  <c r="V44" i="64"/>
  <c r="V41" i="64"/>
  <c r="V86" i="64"/>
  <c r="V70" i="64"/>
  <c r="V67" i="64"/>
  <c r="V60" i="64"/>
  <c r="V48" i="64"/>
  <c r="V30" i="64"/>
  <c r="V26" i="64"/>
  <c r="V84" i="64"/>
  <c r="V74" i="64"/>
  <c r="V71" i="64"/>
  <c r="V79" i="64"/>
  <c r="V65" i="64"/>
  <c r="V88" i="64"/>
  <c r="V62" i="64"/>
  <c r="V58" i="64"/>
  <c r="V32" i="64"/>
  <c r="V28" i="64"/>
  <c r="V90" i="64"/>
  <c r="V82" i="64"/>
  <c r="V46" i="64"/>
  <c r="V43" i="64"/>
  <c r="V40" i="64"/>
  <c r="V27" i="64"/>
  <c r="V54" i="64"/>
  <c r="V76" i="64"/>
  <c r="X53" i="67"/>
  <c r="Z53" i="67" s="1"/>
  <c r="J30" i="60"/>
  <c r="J34" i="60"/>
  <c r="J38" i="60"/>
  <c r="V42" i="60"/>
  <c r="J46" i="60"/>
  <c r="V50" i="60"/>
  <c r="V60" i="60"/>
  <c r="V62" i="60"/>
  <c r="J39" i="61"/>
  <c r="L50" i="61"/>
  <c r="N50" i="61" s="1"/>
  <c r="V64" i="61"/>
  <c r="F18" i="62"/>
  <c r="F21" i="62"/>
  <c r="F33" i="62"/>
  <c r="Z55" i="62"/>
  <c r="X57" i="62"/>
  <c r="N59" i="62"/>
  <c r="Z65" i="62"/>
  <c r="L67" i="62"/>
  <c r="F69" i="62"/>
  <c r="V74" i="62"/>
  <c r="V31" i="64"/>
  <c r="V52" i="64"/>
  <c r="V75" i="64"/>
  <c r="N111" i="69"/>
  <c r="L111" i="69"/>
  <c r="N54" i="70"/>
  <c r="L60" i="64"/>
  <c r="J57" i="65"/>
  <c r="J49" i="65"/>
  <c r="J39" i="65"/>
  <c r="J35" i="65"/>
  <c r="J31" i="65"/>
  <c r="J21" i="65"/>
  <c r="J68" i="65"/>
  <c r="J58" i="65"/>
  <c r="J50" i="65"/>
  <c r="J26" i="65"/>
  <c r="J22" i="65"/>
  <c r="J20" i="65"/>
  <c r="J18" i="65"/>
  <c r="N12" i="65"/>
  <c r="J51" i="65"/>
  <c r="H18" i="65"/>
  <c r="J42" i="65"/>
  <c r="J61" i="65"/>
  <c r="J55" i="65"/>
  <c r="J45" i="65"/>
  <c r="J47" i="65"/>
  <c r="J15" i="65"/>
  <c r="J70" i="65"/>
  <c r="J21" i="62"/>
  <c r="R22" i="62"/>
  <c r="J25" i="62"/>
  <c r="R26" i="62"/>
  <c r="J29" i="62"/>
  <c r="J45" i="62"/>
  <c r="J55" i="62"/>
  <c r="R58" i="62"/>
  <c r="R59" i="62"/>
  <c r="J67" i="62"/>
  <c r="J73" i="62"/>
  <c r="R74" i="62"/>
  <c r="R94" i="62"/>
  <c r="X98" i="62"/>
  <c r="Z98" i="62" s="1"/>
  <c r="J77" i="64"/>
  <c r="J67" i="64"/>
  <c r="J57" i="64"/>
  <c r="J53" i="64"/>
  <c r="J49" i="64"/>
  <c r="J94" i="64"/>
  <c r="J68" i="64"/>
  <c r="J58" i="64"/>
  <c r="J83" i="64"/>
  <c r="J69" i="64"/>
  <c r="J59" i="64"/>
  <c r="J87" i="64"/>
  <c r="J81" i="64"/>
  <c r="J65" i="64"/>
  <c r="J47" i="64"/>
  <c r="J39" i="64"/>
  <c r="J45" i="64"/>
  <c r="J54" i="64"/>
  <c r="J78" i="64"/>
  <c r="V59" i="65"/>
  <c r="V43" i="65"/>
  <c r="V27" i="65"/>
  <c r="V23" i="65"/>
  <c r="V54" i="65"/>
  <c r="V42" i="65"/>
  <c r="V61" i="65"/>
  <c r="V53" i="65"/>
  <c r="V45" i="65"/>
  <c r="V37" i="65"/>
  <c r="V33" i="65"/>
  <c r="V64" i="65"/>
  <c r="V62" i="65"/>
  <c r="V46" i="65"/>
  <c r="V38" i="65"/>
  <c r="V34" i="65"/>
  <c r="V30" i="65"/>
  <c r="V51" i="65"/>
  <c r="V39" i="65"/>
  <c r="V35" i="65"/>
  <c r="V31" i="65"/>
  <c r="T18" i="65"/>
  <c r="V24" i="65"/>
  <c r="J29" i="65"/>
  <c r="J38" i="65"/>
  <c r="J41" i="65"/>
  <c r="V50" i="65"/>
  <c r="R53" i="65"/>
  <c r="R66" i="65"/>
  <c r="R70" i="65"/>
  <c r="J121" i="66"/>
  <c r="J101" i="66"/>
  <c r="J93" i="66"/>
  <c r="J85" i="66"/>
  <c r="J77" i="66"/>
  <c r="J73" i="66"/>
  <c r="J69" i="66"/>
  <c r="J108" i="66"/>
  <c r="J102" i="66"/>
  <c r="J94" i="66"/>
  <c r="J86" i="66"/>
  <c r="J64" i="66"/>
  <c r="J60" i="66"/>
  <c r="J109" i="66"/>
  <c r="J103" i="66"/>
  <c r="J95" i="66"/>
  <c r="J87" i="66"/>
  <c r="J51" i="66"/>
  <c r="J47" i="66"/>
  <c r="J43" i="66"/>
  <c r="J39" i="66"/>
  <c r="J110" i="66"/>
  <c r="J96" i="66"/>
  <c r="J88" i="66"/>
  <c r="J78" i="66"/>
  <c r="J74" i="66"/>
  <c r="J70" i="66"/>
  <c r="J112" i="66"/>
  <c r="J104" i="66"/>
  <c r="J80" i="66"/>
  <c r="J52" i="66"/>
  <c r="J48" i="66"/>
  <c r="J44" i="66"/>
  <c r="J40" i="66"/>
  <c r="J116" i="66"/>
  <c r="J105" i="66"/>
  <c r="J99" i="66"/>
  <c r="J91" i="66"/>
  <c r="H54" i="66"/>
  <c r="J49" i="66"/>
  <c r="J45" i="66"/>
  <c r="J41" i="66"/>
  <c r="J37" i="66"/>
  <c r="J107" i="66"/>
  <c r="J83" i="66"/>
  <c r="J67" i="66"/>
  <c r="J63" i="66"/>
  <c r="J59" i="66"/>
  <c r="J58" i="66"/>
  <c r="J71" i="66"/>
  <c r="N96" i="66"/>
  <c r="J115" i="66"/>
  <c r="J117" i="66"/>
  <c r="H23" i="67"/>
  <c r="N19" i="67"/>
  <c r="J19" i="67"/>
  <c r="J55" i="69"/>
  <c r="X30" i="70"/>
  <c r="Z30" i="70" s="1"/>
  <c r="H86" i="70"/>
  <c r="H16" i="62"/>
  <c r="J53" i="62"/>
  <c r="R56" i="62"/>
  <c r="R57" i="62"/>
  <c r="J65" i="62"/>
  <c r="R68" i="62"/>
  <c r="J71" i="62"/>
  <c r="J79" i="62"/>
  <c r="R80" i="62"/>
  <c r="J83" i="62"/>
  <c r="R84" i="62"/>
  <c r="J91" i="62"/>
  <c r="R92" i="62"/>
  <c r="R93" i="62"/>
  <c r="J26" i="64"/>
  <c r="J30" i="64"/>
  <c r="H35" i="64"/>
  <c r="J37" i="64"/>
  <c r="J38" i="64"/>
  <c r="J48" i="64"/>
  <c r="J51" i="64"/>
  <c r="J60" i="64"/>
  <c r="J64" i="64"/>
  <c r="X84" i="64"/>
  <c r="Z84" i="64" s="1"/>
  <c r="J86" i="64"/>
  <c r="Z12" i="65"/>
  <c r="R15" i="65"/>
  <c r="R20" i="65"/>
  <c r="V21" i="65"/>
  <c r="J23" i="65"/>
  <c r="R30" i="65"/>
  <c r="J32" i="65"/>
  <c r="J40" i="65"/>
  <c r="V44" i="65"/>
  <c r="J46" i="65"/>
  <c r="J60" i="65"/>
  <c r="X61" i="65"/>
  <c r="J64" i="65"/>
  <c r="J38" i="66"/>
  <c r="J68" i="66"/>
  <c r="J89" i="66"/>
  <c r="J139" i="69"/>
  <c r="J121" i="69"/>
  <c r="J153" i="69"/>
  <c r="J141" i="69"/>
  <c r="J129" i="69"/>
  <c r="J148" i="69"/>
  <c r="J137" i="69"/>
  <c r="J133" i="69"/>
  <c r="J127" i="69"/>
  <c r="J119" i="69"/>
  <c r="J111" i="69"/>
  <c r="J144" i="69"/>
  <c r="J126" i="69"/>
  <c r="J123" i="69"/>
  <c r="J109" i="69"/>
  <c r="J88" i="69"/>
  <c r="J84" i="69"/>
  <c r="J136" i="69"/>
  <c r="J131" i="69"/>
  <c r="J118" i="69"/>
  <c r="J104" i="69"/>
  <c r="J75" i="69"/>
  <c r="J114" i="69"/>
  <c r="J98" i="69"/>
  <c r="J94" i="69"/>
  <c r="J80" i="69"/>
  <c r="J142" i="69"/>
  <c r="J90" i="69"/>
  <c r="H77" i="69"/>
  <c r="J72" i="69"/>
  <c r="J68" i="69"/>
  <c r="J64" i="69"/>
  <c r="J117" i="69"/>
  <c r="J112" i="69"/>
  <c r="J100" i="69"/>
  <c r="J96" i="69"/>
  <c r="J92" i="69"/>
  <c r="J149" i="69"/>
  <c r="J122" i="69"/>
  <c r="J108" i="69"/>
  <c r="J102" i="69"/>
  <c r="J93" i="69"/>
  <c r="J91" i="69"/>
  <c r="J86" i="69"/>
  <c r="J81" i="69"/>
  <c r="J62" i="69"/>
  <c r="J52" i="69"/>
  <c r="J143" i="69"/>
  <c r="J140" i="69"/>
  <c r="J103" i="69"/>
  <c r="J65" i="69"/>
  <c r="J59" i="69"/>
  <c r="J146" i="69"/>
  <c r="J125" i="69"/>
  <c r="J120" i="69"/>
  <c r="J71" i="69"/>
  <c r="J56" i="69"/>
  <c r="J116" i="69"/>
  <c r="J106" i="69"/>
  <c r="J79" i="69"/>
  <c r="J74" i="69"/>
  <c r="J138" i="69"/>
  <c r="J134" i="69"/>
  <c r="J130" i="69"/>
  <c r="J101" i="69"/>
  <c r="J89" i="69"/>
  <c r="J82" i="69"/>
  <c r="J63" i="69"/>
  <c r="J60" i="69"/>
  <c r="J53" i="69"/>
  <c r="J107" i="69"/>
  <c r="J87" i="69"/>
  <c r="J66" i="69"/>
  <c r="J147" i="69"/>
  <c r="J124" i="69"/>
  <c r="J99" i="69"/>
  <c r="J85" i="69"/>
  <c r="J115" i="69"/>
  <c r="J105" i="69"/>
  <c r="J95" i="69"/>
  <c r="J83" i="69"/>
  <c r="J70" i="69"/>
  <c r="J57" i="69"/>
  <c r="J132" i="69"/>
  <c r="N70" i="77"/>
  <c r="L70" i="77"/>
  <c r="J70" i="77"/>
  <c r="J42" i="62"/>
  <c r="J50" i="62"/>
  <c r="J62" i="62"/>
  <c r="J70" i="62"/>
  <c r="R71" i="62"/>
  <c r="R72" i="62"/>
  <c r="J76" i="62"/>
  <c r="R79" i="62"/>
  <c r="J82" i="62"/>
  <c r="R83" i="62"/>
  <c r="J88" i="62"/>
  <c r="R91" i="62"/>
  <c r="J100" i="62"/>
  <c r="R104" i="62"/>
  <c r="R107" i="62"/>
  <c r="X38" i="64"/>
  <c r="Z38" i="64" s="1"/>
  <c r="J66" i="64"/>
  <c r="L69" i="64"/>
  <c r="J73" i="64"/>
  <c r="Z87" i="64"/>
  <c r="J90" i="64"/>
  <c r="R18" i="65"/>
  <c r="J25" i="65"/>
  <c r="R46" i="65"/>
  <c r="X49" i="65"/>
  <c r="R60" i="65"/>
  <c r="J73" i="65"/>
  <c r="J106" i="66"/>
  <c r="J111" i="66"/>
  <c r="J114" i="66"/>
  <c r="Z26" i="67"/>
  <c r="X36" i="67"/>
  <c r="Z36" i="67" s="1"/>
  <c r="N64" i="67"/>
  <c r="X67" i="67"/>
  <c r="Z50" i="71"/>
  <c r="X50" i="71"/>
  <c r="R52" i="62"/>
  <c r="R53" i="62"/>
  <c r="R64" i="62"/>
  <c r="R65" i="62"/>
  <c r="J75" i="62"/>
  <c r="J87" i="62"/>
  <c r="J98" i="62"/>
  <c r="R102" i="62"/>
  <c r="R28" i="65"/>
  <c r="J34" i="65"/>
  <c r="J48" i="65"/>
  <c r="J62" i="65"/>
  <c r="R64" i="65"/>
  <c r="P12" i="66"/>
  <c r="L88" i="66"/>
  <c r="X51" i="67"/>
  <c r="Z67" i="67"/>
  <c r="Z80" i="69"/>
  <c r="D12" i="71"/>
  <c r="L14" i="71"/>
  <c r="Z37" i="64"/>
  <c r="R52" i="65"/>
  <c r="R41" i="65"/>
  <c r="R40" i="65"/>
  <c r="R36" i="65"/>
  <c r="R32" i="65"/>
  <c r="R59" i="65"/>
  <c r="R27" i="65"/>
  <c r="R23" i="65"/>
  <c r="R43" i="65"/>
  <c r="R42" i="65"/>
  <c r="R55" i="65"/>
  <c r="R57" i="65"/>
  <c r="R56" i="65"/>
  <c r="R49" i="65"/>
  <c r="R48" i="65"/>
  <c r="R21" i="65"/>
  <c r="R16" i="65"/>
  <c r="R68" i="65"/>
  <c r="R58" i="65"/>
  <c r="R51" i="65"/>
  <c r="R50" i="65"/>
  <c r="J16" i="65"/>
  <c r="R37" i="65"/>
  <c r="J54" i="65"/>
  <c r="Z79" i="66"/>
  <c r="N88" i="66"/>
  <c r="D12" i="67"/>
  <c r="L13" i="67"/>
  <c r="J47" i="67"/>
  <c r="D12" i="69"/>
  <c r="T151" i="69"/>
  <c r="V77" i="69"/>
  <c r="R19" i="62"/>
  <c r="R42" i="62"/>
  <c r="R43" i="62"/>
  <c r="J49" i="62"/>
  <c r="R50" i="62"/>
  <c r="R51" i="62"/>
  <c r="J59" i="62"/>
  <c r="R62" i="62"/>
  <c r="R63" i="62"/>
  <c r="J69" i="62"/>
  <c r="R70" i="62"/>
  <c r="J81" i="62"/>
  <c r="R82" i="62"/>
  <c r="J85" i="62"/>
  <c r="J28" i="64"/>
  <c r="J32" i="64"/>
  <c r="J43" i="64"/>
  <c r="J55" i="64"/>
  <c r="J82" i="64"/>
  <c r="J88" i="64"/>
  <c r="X13" i="65"/>
  <c r="Z13" i="65" s="1"/>
  <c r="R22" i="65"/>
  <c r="J24" i="65"/>
  <c r="R25" i="65"/>
  <c r="J36" i="65"/>
  <c r="J59" i="65"/>
  <c r="J50" i="66"/>
  <c r="X68" i="66"/>
  <c r="Z68" i="66" s="1"/>
  <c r="X79" i="66"/>
  <c r="Z84" i="66"/>
  <c r="Z106" i="66"/>
  <c r="X111" i="66"/>
  <c r="L47" i="67"/>
  <c r="N47" i="67" s="1"/>
  <c r="L58" i="67"/>
  <c r="N58" i="67" s="1"/>
  <c r="Z64" i="67"/>
  <c r="P12" i="69"/>
  <c r="J69" i="69"/>
  <c r="J135" i="69"/>
  <c r="R87" i="62"/>
  <c r="R88" i="62"/>
  <c r="R100" i="62"/>
  <c r="N79" i="64"/>
  <c r="J27" i="65"/>
  <c r="R31" i="65"/>
  <c r="R34" i="65"/>
  <c r="R39" i="65"/>
  <c r="J53" i="65"/>
  <c r="R62" i="65"/>
  <c r="X12" i="62"/>
  <c r="J31" i="62"/>
  <c r="R32" i="62"/>
  <c r="J35" i="62"/>
  <c r="R36" i="62"/>
  <c r="J39" i="62"/>
  <c r="R40" i="62"/>
  <c r="R41" i="62"/>
  <c r="J47" i="62"/>
  <c r="J57" i="62"/>
  <c r="R60" i="62"/>
  <c r="R61" i="62"/>
  <c r="Z47" i="64"/>
  <c r="J61" i="64"/>
  <c r="J75" i="64"/>
  <c r="J79" i="64"/>
  <c r="L84" i="64"/>
  <c r="N84" i="64" s="1"/>
  <c r="V16" i="65"/>
  <c r="J30" i="65"/>
  <c r="J33" i="65"/>
  <c r="J44" i="65"/>
  <c r="X45" i="65"/>
  <c r="J56" i="65"/>
  <c r="J66" i="65"/>
  <c r="J56" i="66"/>
  <c r="X25" i="67"/>
  <c r="Z25" i="67" s="1"/>
  <c r="N90" i="69"/>
  <c r="J97" i="69"/>
  <c r="D146" i="69"/>
  <c r="L146" i="69" s="1"/>
  <c r="N146" i="69" s="1"/>
  <c r="L147" i="69"/>
  <c r="N147" i="69" s="1"/>
  <c r="V28" i="67"/>
  <c r="V32" i="67"/>
  <c r="V56" i="67"/>
  <c r="V64" i="67"/>
  <c r="N30" i="70"/>
  <c r="J30" i="70"/>
  <c r="Z12" i="67"/>
  <c r="J30" i="67"/>
  <c r="J34" i="67"/>
  <c r="J50" i="67"/>
  <c r="V54" i="67"/>
  <c r="J60" i="67"/>
  <c r="V62" i="67"/>
  <c r="J66" i="67"/>
  <c r="V70" i="67"/>
  <c r="V72" i="67"/>
  <c r="V74" i="67"/>
  <c r="L80" i="69"/>
  <c r="N80" i="69" s="1"/>
  <c r="X140" i="69"/>
  <c r="Z140" i="69" s="1"/>
  <c r="N65" i="74"/>
  <c r="L65" i="74"/>
  <c r="N14" i="89"/>
  <c r="H16" i="89"/>
  <c r="V21" i="67"/>
  <c r="V23" i="67"/>
  <c r="V25" i="67"/>
  <c r="V53" i="67"/>
  <c r="V61" i="67"/>
  <c r="V69" i="67"/>
  <c r="L114" i="69"/>
  <c r="Z119" i="69"/>
  <c r="L32" i="71"/>
  <c r="N32" i="71" s="1"/>
  <c r="J32" i="71"/>
  <c r="V90" i="69"/>
  <c r="N116" i="69"/>
  <c r="V43" i="67"/>
  <c r="V51" i="67"/>
  <c r="V59" i="67"/>
  <c r="V67" i="67"/>
  <c r="X90" i="69"/>
  <c r="Z90" i="69" s="1"/>
  <c r="N60" i="70"/>
  <c r="V85" i="77"/>
  <c r="R23" i="78"/>
  <c r="R18" i="78"/>
  <c r="R22" i="78"/>
  <c r="R24" i="78"/>
  <c r="P20" i="78"/>
  <c r="R26" i="78"/>
  <c r="R16" i="78"/>
  <c r="R30" i="78"/>
  <c r="X12" i="78"/>
  <c r="Z12" i="78" s="1"/>
  <c r="R17" i="78"/>
  <c r="V20" i="67"/>
  <c r="J28" i="67"/>
  <c r="J32" i="67"/>
  <c r="V48" i="67"/>
  <c r="J56" i="67"/>
  <c r="V60" i="67"/>
  <c r="J72" i="67"/>
  <c r="L13" i="69"/>
  <c r="N13" i="69" s="1"/>
  <c r="X79" i="69"/>
  <c r="Z79" i="69" s="1"/>
  <c r="P12" i="70"/>
  <c r="V29" i="67"/>
  <c r="V33" i="67"/>
  <c r="J37" i="67"/>
  <c r="J41" i="67"/>
  <c r="J45" i="67"/>
  <c r="V49" i="67"/>
  <c r="J55" i="67"/>
  <c r="V57" i="67"/>
  <c r="V65" i="67"/>
  <c r="L74" i="70"/>
  <c r="N74" i="70" s="1"/>
  <c r="D79" i="70"/>
  <c r="L79" i="70" s="1"/>
  <c r="P12" i="71"/>
  <c r="X15" i="71"/>
  <c r="H48" i="71"/>
  <c r="N86" i="71"/>
  <c r="L86" i="71"/>
  <c r="D77" i="74"/>
  <c r="V38" i="67"/>
  <c r="V42" i="67"/>
  <c r="V46" i="67"/>
  <c r="V58" i="67"/>
  <c r="V76" i="67"/>
  <c r="V78" i="67"/>
  <c r="L142" i="69"/>
  <c r="N142" i="69" s="1"/>
  <c r="Z146" i="69"/>
  <c r="P146" i="69"/>
  <c r="X146" i="69" s="1"/>
  <c r="X148" i="69"/>
  <c r="Z148" i="69" s="1"/>
  <c r="X74" i="70"/>
  <c r="Z74" i="70" s="1"/>
  <c r="Z62" i="71"/>
  <c r="J17" i="73"/>
  <c r="N17" i="73"/>
  <c r="V98" i="69"/>
  <c r="V104" i="69"/>
  <c r="V119" i="69"/>
  <c r="Z56" i="70"/>
  <c r="J65" i="70"/>
  <c r="J71" i="70"/>
  <c r="J82" i="70"/>
  <c r="N50" i="71"/>
  <c r="V56" i="71"/>
  <c r="V74" i="71"/>
  <c r="R18" i="73"/>
  <c r="V47" i="73"/>
  <c r="J21" i="74"/>
  <c r="J49" i="74"/>
  <c r="V80" i="69"/>
  <c r="V84" i="69"/>
  <c r="V88" i="69"/>
  <c r="V114" i="69"/>
  <c r="N121" i="69"/>
  <c r="V123" i="69"/>
  <c r="V126" i="69"/>
  <c r="V144" i="69"/>
  <c r="J39" i="70"/>
  <c r="J43" i="70"/>
  <c r="J51" i="70"/>
  <c r="X51" i="71"/>
  <c r="Z51" i="71" s="1"/>
  <c r="L62" i="71"/>
  <c r="N62" i="71" s="1"/>
  <c r="V63" i="71"/>
  <c r="L81" i="71"/>
  <c r="N81" i="71" s="1"/>
  <c r="Z101" i="71"/>
  <c r="V33" i="73"/>
  <c r="L59" i="73"/>
  <c r="N59" i="73"/>
  <c r="V67" i="73"/>
  <c r="V73" i="73"/>
  <c r="Z58" i="70"/>
  <c r="V50" i="71"/>
  <c r="V51" i="71"/>
  <c r="V55" i="71"/>
  <c r="V65" i="71"/>
  <c r="D101" i="71"/>
  <c r="L101" i="71" s="1"/>
  <c r="N101" i="71" s="1"/>
  <c r="L102" i="71"/>
  <c r="N52" i="73"/>
  <c r="J72" i="74"/>
  <c r="J54" i="74"/>
  <c r="J44" i="74"/>
  <c r="J38" i="74"/>
  <c r="J34" i="74"/>
  <c r="J61" i="74"/>
  <c r="J55" i="74"/>
  <c r="J45" i="74"/>
  <c r="J29" i="74"/>
  <c r="J25" i="74"/>
  <c r="J15" i="74"/>
  <c r="J77" i="74"/>
  <c r="J74" i="74"/>
  <c r="J56" i="74"/>
  <c r="J47" i="74"/>
  <c r="J39" i="74"/>
  <c r="J35" i="74"/>
  <c r="J53" i="74"/>
  <c r="J41" i="74"/>
  <c r="J37" i="74"/>
  <c r="J33" i="74"/>
  <c r="J28" i="74"/>
  <c r="J16" i="74"/>
  <c r="J57" i="74"/>
  <c r="J51" i="74"/>
  <c r="J22" i="74"/>
  <c r="J64" i="74"/>
  <c r="J32" i="74"/>
  <c r="J68" i="74"/>
  <c r="J52" i="74"/>
  <c r="J43" i="74"/>
  <c r="J26" i="74"/>
  <c r="J23" i="74"/>
  <c r="J17" i="74"/>
  <c r="J58" i="74"/>
  <c r="J40" i="74"/>
  <c r="J48" i="74"/>
  <c r="N12" i="74"/>
  <c r="J62" i="74"/>
  <c r="J30" i="74"/>
  <c r="J27" i="74"/>
  <c r="H19" i="74"/>
  <c r="X15" i="74"/>
  <c r="P19" i="74"/>
  <c r="V92" i="69"/>
  <c r="V96" i="69"/>
  <c r="V100" i="69"/>
  <c r="V112" i="69"/>
  <c r="J76" i="70"/>
  <c r="J70" i="70"/>
  <c r="J62" i="70"/>
  <c r="J52" i="70"/>
  <c r="J38" i="70"/>
  <c r="J34" i="70"/>
  <c r="J77" i="70"/>
  <c r="J64" i="70"/>
  <c r="J54" i="70"/>
  <c r="J48" i="70"/>
  <c r="J44" i="70"/>
  <c r="J68" i="70"/>
  <c r="J60" i="70"/>
  <c r="J50" i="70"/>
  <c r="J46" i="70"/>
  <c r="J42" i="70"/>
  <c r="J74" i="70"/>
  <c r="J53" i="70"/>
  <c r="Z68" i="70"/>
  <c r="N79" i="70"/>
  <c r="V57" i="71"/>
  <c r="V67" i="71"/>
  <c r="V79" i="71"/>
  <c r="Z84" i="71"/>
  <c r="L98" i="71"/>
  <c r="X25" i="73"/>
  <c r="Z25" i="73" s="1"/>
  <c r="L12" i="74"/>
  <c r="H126" i="77"/>
  <c r="J126" i="77" s="1"/>
  <c r="H82" i="82"/>
  <c r="V103" i="71"/>
  <c r="V98" i="71"/>
  <c r="V90" i="71"/>
  <c r="V82" i="71"/>
  <c r="V58" i="71"/>
  <c r="V54" i="71"/>
  <c r="V97" i="71"/>
  <c r="V73" i="71"/>
  <c r="V45" i="71"/>
  <c r="V41" i="71"/>
  <c r="V37" i="71"/>
  <c r="V33" i="71"/>
  <c r="V92" i="71"/>
  <c r="V84" i="71"/>
  <c r="V72" i="71"/>
  <c r="V68" i="71"/>
  <c r="V64" i="71"/>
  <c r="V93" i="71"/>
  <c r="V85" i="71"/>
  <c r="V77" i="71"/>
  <c r="V94" i="71"/>
  <c r="V78" i="71"/>
  <c r="V70" i="71"/>
  <c r="V66" i="71"/>
  <c r="V62" i="71"/>
  <c r="V96" i="71"/>
  <c r="V80" i="71"/>
  <c r="V44" i="71"/>
  <c r="V40" i="71"/>
  <c r="V36" i="71"/>
  <c r="V32" i="71"/>
  <c r="N88" i="71"/>
  <c r="V91" i="71"/>
  <c r="V81" i="73"/>
  <c r="V63" i="73"/>
  <c r="V55" i="73"/>
  <c r="V31" i="73"/>
  <c r="V27" i="73"/>
  <c r="V70" i="73"/>
  <c r="V46" i="73"/>
  <c r="V18" i="73"/>
  <c r="V72" i="73"/>
  <c r="V64" i="73"/>
  <c r="V48" i="73"/>
  <c r="V32" i="73"/>
  <c r="V28" i="73"/>
  <c r="V62" i="73"/>
  <c r="V54" i="73"/>
  <c r="V34" i="73"/>
  <c r="V30" i="73"/>
  <c r="V19" i="73"/>
  <c r="V59" i="73"/>
  <c r="V52" i="73"/>
  <c r="V35" i="73"/>
  <c r="V56" i="73"/>
  <c r="V49" i="73"/>
  <c r="V45" i="73"/>
  <c r="V40" i="73"/>
  <c r="V38" i="73"/>
  <c r="V29" i="73"/>
  <c r="V26" i="73"/>
  <c r="V50" i="73"/>
  <c r="V71" i="73"/>
  <c r="V68" i="73"/>
  <c r="V66" i="73"/>
  <c r="V20" i="73"/>
  <c r="V17" i="73"/>
  <c r="V75" i="73"/>
  <c r="V43" i="73"/>
  <c r="V39" i="73"/>
  <c r="T22" i="73"/>
  <c r="V74" i="73"/>
  <c r="V65" i="73"/>
  <c r="V51" i="73"/>
  <c r="V44" i="73"/>
  <c r="V37" i="73"/>
  <c r="V25" i="73"/>
  <c r="V24" i="73"/>
  <c r="R69" i="73"/>
  <c r="R68" i="73"/>
  <c r="R44" i="73"/>
  <c r="R40" i="73"/>
  <c r="R36" i="73"/>
  <c r="R17" i="73"/>
  <c r="R81" i="73"/>
  <c r="R63" i="73"/>
  <c r="R56" i="73"/>
  <c r="R55" i="73"/>
  <c r="R31" i="73"/>
  <c r="R27" i="73"/>
  <c r="R57" i="73"/>
  <c r="R46" i="73"/>
  <c r="R45" i="73"/>
  <c r="R41" i="73"/>
  <c r="R37" i="73"/>
  <c r="R75" i="73"/>
  <c r="R67" i="73"/>
  <c r="R52" i="73"/>
  <c r="R51" i="73"/>
  <c r="R43" i="73"/>
  <c r="R39" i="73"/>
  <c r="R74" i="73"/>
  <c r="R70" i="73"/>
  <c r="R65" i="73"/>
  <c r="R61" i="73"/>
  <c r="R58" i="73"/>
  <c r="R42" i="73"/>
  <c r="R34" i="73"/>
  <c r="R25" i="73"/>
  <c r="R24" i="73"/>
  <c r="R19" i="73"/>
  <c r="R62" i="73"/>
  <c r="R59" i="73"/>
  <c r="R49" i="73"/>
  <c r="R38" i="73"/>
  <c r="R35" i="73"/>
  <c r="R29" i="73"/>
  <c r="R26" i="73"/>
  <c r="R32" i="73"/>
  <c r="R71" i="73"/>
  <c r="R66" i="73"/>
  <c r="R50" i="73"/>
  <c r="R20" i="73"/>
  <c r="R33" i="73"/>
  <c r="X12" i="73"/>
  <c r="Z12" i="73" s="1"/>
  <c r="R73" i="73"/>
  <c r="R64" i="73"/>
  <c r="R47" i="73"/>
  <c r="P22" i="73"/>
  <c r="R48" i="73"/>
  <c r="J46" i="74"/>
  <c r="J66" i="74"/>
  <c r="V143" i="69"/>
  <c r="V135" i="69"/>
  <c r="V131" i="69"/>
  <c r="V115" i="69"/>
  <c r="V107" i="69"/>
  <c r="V153" i="69"/>
  <c r="V141" i="69"/>
  <c r="V129" i="69"/>
  <c r="V113" i="69"/>
  <c r="V105" i="69"/>
  <c r="V82" i="69"/>
  <c r="V86" i="69"/>
  <c r="V106" i="69"/>
  <c r="Z107" i="69"/>
  <c r="V120" i="69"/>
  <c r="L130" i="69"/>
  <c r="N130" i="69" s="1"/>
  <c r="J26" i="70"/>
  <c r="T28" i="70"/>
  <c r="J32" i="70"/>
  <c r="J47" i="70"/>
  <c r="Z54" i="70"/>
  <c r="N56" i="70"/>
  <c r="J59" i="70"/>
  <c r="J69" i="70"/>
  <c r="J72" i="70"/>
  <c r="Z32" i="71"/>
  <c r="V42" i="71"/>
  <c r="T48" i="71"/>
  <c r="V81" i="71"/>
  <c r="V83" i="71"/>
  <c r="Z86" i="71"/>
  <c r="Z96" i="71"/>
  <c r="J98" i="71"/>
  <c r="X14" i="73"/>
  <c r="Z14" i="73" s="1"/>
  <c r="N24" i="73"/>
  <c r="R28" i="73"/>
  <c r="R30" i="73"/>
  <c r="L56" i="73"/>
  <c r="N56" i="73" s="1"/>
  <c r="J19" i="74"/>
  <c r="J36" i="74"/>
  <c r="J59" i="74"/>
  <c r="V20" i="75"/>
  <c r="V43" i="75"/>
  <c r="V39" i="75"/>
  <c r="V35" i="75"/>
  <c r="V34" i="75"/>
  <c r="V30" i="75"/>
  <c r="V26" i="75"/>
  <c r="V25" i="75"/>
  <c r="V23" i="75"/>
  <c r="V21" i="75"/>
  <c r="V44" i="75"/>
  <c r="V40" i="75"/>
  <c r="V36" i="75"/>
  <c r="T23" i="75"/>
  <c r="V31" i="75"/>
  <c r="V27" i="75"/>
  <c r="V19" i="75"/>
  <c r="V33" i="75"/>
  <c r="V51" i="75"/>
  <c r="V38" i="75"/>
  <c r="V29" i="75"/>
  <c r="V45" i="75"/>
  <c r="V47" i="75"/>
  <c r="V37" i="75"/>
  <c r="V28" i="75"/>
  <c r="P12" i="77"/>
  <c r="X14" i="77"/>
  <c r="V91" i="69"/>
  <c r="V95" i="69"/>
  <c r="V99" i="69"/>
  <c r="N123" i="69"/>
  <c r="V128" i="69"/>
  <c r="V137" i="69"/>
  <c r="V138" i="69"/>
  <c r="J41" i="70"/>
  <c r="J56" i="70"/>
  <c r="J66" i="70"/>
  <c r="V59" i="71"/>
  <c r="V86" i="71"/>
  <c r="V102" i="71"/>
  <c r="V36" i="73"/>
  <c r="R54" i="73"/>
  <c r="R60" i="73"/>
  <c r="R72" i="73"/>
  <c r="R77" i="73"/>
  <c r="L19" i="74"/>
  <c r="J50" i="74"/>
  <c r="D12" i="76"/>
  <c r="L13" i="76"/>
  <c r="N13" i="76" s="1"/>
  <c r="R70" i="79"/>
  <c r="R69" i="79"/>
  <c r="R54" i="79"/>
  <c r="R53" i="79"/>
  <c r="R29" i="79"/>
  <c r="R25" i="79"/>
  <c r="R93" i="79"/>
  <c r="R80" i="79"/>
  <c r="R79" i="79"/>
  <c r="R75" i="79"/>
  <c r="R71" i="79"/>
  <c r="R56" i="79"/>
  <c r="R55" i="79"/>
  <c r="R39" i="79"/>
  <c r="R35" i="79"/>
  <c r="R86" i="79"/>
  <c r="R85" i="79"/>
  <c r="R77" i="79"/>
  <c r="R73" i="79"/>
  <c r="R50" i="79"/>
  <c r="R49" i="79"/>
  <c r="R41" i="79"/>
  <c r="R37" i="79"/>
  <c r="R33" i="79"/>
  <c r="R87" i="79"/>
  <c r="R68" i="79"/>
  <c r="R67" i="79"/>
  <c r="R52" i="79"/>
  <c r="R51" i="79"/>
  <c r="R63" i="79"/>
  <c r="R45" i="79"/>
  <c r="R95" i="79"/>
  <c r="R81" i="79"/>
  <c r="R78" i="79"/>
  <c r="R59" i="79"/>
  <c r="R38" i="79"/>
  <c r="R26" i="79"/>
  <c r="R18" i="79"/>
  <c r="R89" i="79"/>
  <c r="R64" i="79"/>
  <c r="R82" i="79"/>
  <c r="R46" i="79"/>
  <c r="R30" i="79"/>
  <c r="R23" i="79"/>
  <c r="R20" i="79"/>
  <c r="R91" i="79"/>
  <c r="R76" i="79"/>
  <c r="R47" i="79"/>
  <c r="R36" i="79"/>
  <c r="R27" i="79"/>
  <c r="R22" i="79"/>
  <c r="P20" i="79"/>
  <c r="R57" i="79"/>
  <c r="R24" i="79"/>
  <c r="R83" i="79"/>
  <c r="R58" i="79"/>
  <c r="R48" i="79"/>
  <c r="R28" i="79"/>
  <c r="R16" i="79"/>
  <c r="R74" i="79"/>
  <c r="R72" i="79"/>
  <c r="R42" i="79"/>
  <c r="R31" i="79"/>
  <c r="R62" i="79"/>
  <c r="R65" i="79"/>
  <c r="R40" i="79"/>
  <c r="R17" i="79"/>
  <c r="R34" i="79"/>
  <c r="X12" i="79"/>
  <c r="R98" i="79"/>
  <c r="R60" i="79"/>
  <c r="R66" i="79"/>
  <c r="R84" i="79"/>
  <c r="R44" i="79"/>
  <c r="R32" i="79"/>
  <c r="R61" i="79"/>
  <c r="V60" i="69"/>
  <c r="V64" i="69"/>
  <c r="V68" i="69"/>
  <c r="V72" i="69"/>
  <c r="V111" i="69"/>
  <c r="V116" i="69"/>
  <c r="V124" i="69"/>
  <c r="V134" i="69"/>
  <c r="V147" i="69"/>
  <c r="J31" i="70"/>
  <c r="J37" i="70"/>
  <c r="J40" i="70"/>
  <c r="N52" i="70"/>
  <c r="Z60" i="70"/>
  <c r="V34" i="71"/>
  <c r="V39" i="71"/>
  <c r="V52" i="71"/>
  <c r="V61" i="71"/>
  <c r="V69" i="71"/>
  <c r="Z75" i="71"/>
  <c r="V95" i="71"/>
  <c r="Z24" i="73"/>
  <c r="J56" i="73"/>
  <c r="V58" i="73"/>
  <c r="V60" i="73"/>
  <c r="Z74" i="73"/>
  <c r="J24" i="74"/>
  <c r="J31" i="74"/>
  <c r="X23" i="75"/>
  <c r="P49" i="75"/>
  <c r="R77" i="76"/>
  <c r="R72" i="76"/>
  <c r="R71" i="76"/>
  <c r="R48" i="76"/>
  <c r="R47" i="76"/>
  <c r="R31" i="76"/>
  <c r="R27" i="76"/>
  <c r="R97" i="76"/>
  <c r="R94" i="76"/>
  <c r="R81" i="76"/>
  <c r="R69" i="76"/>
  <c r="R29" i="76"/>
  <c r="R25" i="76"/>
  <c r="P21" i="76"/>
  <c r="R85" i="76"/>
  <c r="R67" i="76"/>
  <c r="R42" i="76"/>
  <c r="R26" i="76"/>
  <c r="R68" i="76"/>
  <c r="R64" i="76"/>
  <c r="R58" i="76"/>
  <c r="R52" i="76"/>
  <c r="R19" i="76"/>
  <c r="X12" i="76"/>
  <c r="R86" i="76"/>
  <c r="R78" i="76"/>
  <c r="R75" i="76"/>
  <c r="R59" i="76"/>
  <c r="R53" i="76"/>
  <c r="R39" i="76"/>
  <c r="R36" i="76"/>
  <c r="R32" i="76"/>
  <c r="R92" i="76"/>
  <c r="R16" i="76"/>
  <c r="R43" i="76"/>
  <c r="R33" i="76"/>
  <c r="R24" i="76"/>
  <c r="R23" i="76"/>
  <c r="R21" i="76"/>
  <c r="R65" i="76"/>
  <c r="R60" i="76"/>
  <c r="R54" i="76"/>
  <c r="R44" i="76"/>
  <c r="R40" i="76"/>
  <c r="R83" i="76"/>
  <c r="R66" i="76"/>
  <c r="R45" i="76"/>
  <c r="R90" i="76"/>
  <c r="R80" i="76"/>
  <c r="R73" i="76"/>
  <c r="R46" i="76"/>
  <c r="R41" i="76"/>
  <c r="R28" i="76"/>
  <c r="R18" i="76"/>
  <c r="R88" i="76"/>
  <c r="R56" i="76"/>
  <c r="R50" i="76"/>
  <c r="R63" i="76"/>
  <c r="R61" i="76"/>
  <c r="R17" i="76"/>
  <c r="R38" i="76"/>
  <c r="R34" i="76"/>
  <c r="R30" i="76"/>
  <c r="R79" i="76"/>
  <c r="R57" i="76"/>
  <c r="R55" i="76"/>
  <c r="R82" i="76"/>
  <c r="R49" i="76"/>
  <c r="R35" i="76"/>
  <c r="R74" i="76"/>
  <c r="R76" i="76"/>
  <c r="R84" i="76"/>
  <c r="V44" i="70"/>
  <c r="V48" i="70"/>
  <c r="V56" i="70"/>
  <c r="V64" i="70"/>
  <c r="V80" i="70"/>
  <c r="J48" i="71"/>
  <c r="J50" i="71"/>
  <c r="J52" i="71"/>
  <c r="J56" i="71"/>
  <c r="J60" i="71"/>
  <c r="J76" i="71"/>
  <c r="J86" i="71"/>
  <c r="F17" i="73"/>
  <c r="F27" i="73"/>
  <c r="F30" i="73"/>
  <c r="J41" i="73"/>
  <c r="J57" i="73"/>
  <c r="J60" i="73"/>
  <c r="J69" i="73"/>
  <c r="F36" i="74"/>
  <c r="V37" i="74"/>
  <c r="N42" i="74"/>
  <c r="N46" i="74"/>
  <c r="R51" i="74"/>
  <c r="V54" i="74"/>
  <c r="N16" i="76"/>
  <c r="Z91" i="77"/>
  <c r="F56" i="82"/>
  <c r="J34" i="71"/>
  <c r="J38" i="71"/>
  <c r="J42" i="71"/>
  <c r="J46" i="71"/>
  <c r="J74" i="71"/>
  <c r="J84" i="71"/>
  <c r="F32" i="73"/>
  <c r="J46" i="73"/>
  <c r="J50" i="73"/>
  <c r="F56" i="73"/>
  <c r="J63" i="73"/>
  <c r="F66" i="73"/>
  <c r="J71" i="73"/>
  <c r="F70" i="74"/>
  <c r="F68" i="74"/>
  <c r="F43" i="74"/>
  <c r="F42" i="74"/>
  <c r="F72" i="74"/>
  <c r="F54" i="74"/>
  <c r="F38" i="74"/>
  <c r="F34" i="74"/>
  <c r="F61" i="74"/>
  <c r="F56" i="74"/>
  <c r="F55" i="74"/>
  <c r="F16" i="74"/>
  <c r="F15" i="74"/>
  <c r="F77" i="74"/>
  <c r="F74" i="74"/>
  <c r="F66" i="74"/>
  <c r="F65" i="74"/>
  <c r="F21" i="74"/>
  <c r="F19" i="74"/>
  <c r="V16" i="74"/>
  <c r="X21" i="74"/>
  <c r="Z21" i="74" s="1"/>
  <c r="F24" i="74"/>
  <c r="V28" i="74"/>
  <c r="L48" i="74"/>
  <c r="F53" i="74"/>
  <c r="F59" i="74"/>
  <c r="R60" i="74"/>
  <c r="R66" i="74"/>
  <c r="V74" i="74"/>
  <c r="R51" i="75"/>
  <c r="R33" i="75"/>
  <c r="R29" i="75"/>
  <c r="R20" i="75"/>
  <c r="R43" i="75"/>
  <c r="R39" i="75"/>
  <c r="R35" i="75"/>
  <c r="R34" i="75"/>
  <c r="R30" i="75"/>
  <c r="R26" i="75"/>
  <c r="R21" i="75"/>
  <c r="R44" i="75"/>
  <c r="R40" i="75"/>
  <c r="R36" i="75"/>
  <c r="R25" i="75"/>
  <c r="R23" i="75"/>
  <c r="R45" i="75"/>
  <c r="R41" i="75"/>
  <c r="R37" i="75"/>
  <c r="R49" i="75"/>
  <c r="R47" i="75"/>
  <c r="R32" i="75"/>
  <c r="R28" i="75"/>
  <c r="X12" i="75"/>
  <c r="Z12" i="75" s="1"/>
  <c r="Z72" i="76"/>
  <c r="Z102" i="77"/>
  <c r="V102" i="77"/>
  <c r="Z54" i="79"/>
  <c r="X54" i="79"/>
  <c r="D91" i="79"/>
  <c r="Z54" i="82"/>
  <c r="X54" i="82"/>
  <c r="D12" i="85"/>
  <c r="L13" i="85"/>
  <c r="N13" i="85" s="1"/>
  <c r="F60" i="73"/>
  <c r="F59" i="73"/>
  <c r="F20" i="73"/>
  <c r="F75" i="73"/>
  <c r="F74" i="73"/>
  <c r="F67" i="73"/>
  <c r="F51" i="73"/>
  <c r="F50" i="73"/>
  <c r="F43" i="73"/>
  <c r="F39" i="73"/>
  <c r="F61" i="73"/>
  <c r="F53" i="73"/>
  <c r="F52" i="73"/>
  <c r="F24" i="73"/>
  <c r="F22" i="73"/>
  <c r="F71" i="73"/>
  <c r="F47" i="73"/>
  <c r="F46" i="73"/>
  <c r="F19" i="73"/>
  <c r="F25" i="73"/>
  <c r="N62" i="73"/>
  <c r="Z72" i="73"/>
  <c r="V41" i="74"/>
  <c r="T44" i="77"/>
  <c r="Z35" i="77"/>
  <c r="X35" i="77"/>
  <c r="L24" i="73"/>
  <c r="F40" i="73"/>
  <c r="F48" i="73"/>
  <c r="Z50" i="73"/>
  <c r="F55" i="73"/>
  <c r="V62" i="74"/>
  <c r="V58" i="74"/>
  <c r="V50" i="74"/>
  <c r="V30" i="74"/>
  <c r="V26" i="74"/>
  <c r="V22" i="74"/>
  <c r="Z12" i="74"/>
  <c r="V65" i="74"/>
  <c r="V57" i="74"/>
  <c r="V49" i="74"/>
  <c r="V21" i="74"/>
  <c r="V19" i="74"/>
  <c r="V17" i="74"/>
  <c r="V64" i="74"/>
  <c r="V52" i="74"/>
  <c r="V59" i="74"/>
  <c r="V51" i="74"/>
  <c r="V27" i="74"/>
  <c r="V23" i="74"/>
  <c r="V70" i="74"/>
  <c r="V68" i="74"/>
  <c r="V66" i="74"/>
  <c r="V61" i="74"/>
  <c r="V45" i="74"/>
  <c r="V29" i="74"/>
  <c r="V25" i="74"/>
  <c r="V15" i="74"/>
  <c r="V38" i="74"/>
  <c r="V53" i="74"/>
  <c r="D12" i="75"/>
  <c r="N48" i="76"/>
  <c r="Z112" i="77"/>
  <c r="V112" i="77"/>
  <c r="Z80" i="79"/>
  <c r="X80" i="79"/>
  <c r="F69" i="82"/>
  <c r="F65" i="82"/>
  <c r="F64" i="82"/>
  <c r="F49" i="82"/>
  <c r="F48" i="82"/>
  <c r="F20" i="82"/>
  <c r="F18" i="82"/>
  <c r="F60" i="82"/>
  <c r="F59" i="82"/>
  <c r="F40" i="82"/>
  <c r="F36" i="82"/>
  <c r="F32" i="82"/>
  <c r="D18" i="82"/>
  <c r="F85" i="82"/>
  <c r="F82" i="82"/>
  <c r="F71" i="82"/>
  <c r="F70" i="82"/>
  <c r="F51" i="82"/>
  <c r="F50" i="82"/>
  <c r="F27" i="82"/>
  <c r="F23" i="82"/>
  <c r="F66" i="82"/>
  <c r="F42" i="82"/>
  <c r="F41" i="82"/>
  <c r="F61" i="82"/>
  <c r="F53" i="82"/>
  <c r="F52" i="82"/>
  <c r="F37" i="82"/>
  <c r="F33" i="82"/>
  <c r="F29" i="82"/>
  <c r="F25" i="82"/>
  <c r="F78" i="82"/>
  <c r="F76" i="82"/>
  <c r="F63" i="82"/>
  <c r="F47" i="82"/>
  <c r="F39" i="82"/>
  <c r="F35" i="82"/>
  <c r="F31" i="82"/>
  <c r="F30" i="82"/>
  <c r="F67" i="82"/>
  <c r="F62" i="82"/>
  <c r="F80" i="82"/>
  <c r="F43" i="82"/>
  <c r="F73" i="82"/>
  <c r="F57" i="82"/>
  <c r="F54" i="82"/>
  <c r="F44" i="82"/>
  <c r="F28" i="82"/>
  <c r="F68" i="82"/>
  <c r="F38" i="82"/>
  <c r="F74" i="82"/>
  <c r="F26" i="82"/>
  <c r="F15" i="82"/>
  <c r="L12" i="82"/>
  <c r="F34" i="82"/>
  <c r="F24" i="82"/>
  <c r="F16" i="82"/>
  <c r="F21" i="82"/>
  <c r="F45" i="82"/>
  <c r="F22" i="82"/>
  <c r="F58" i="82"/>
  <c r="F72" i="82"/>
  <c r="F28" i="73"/>
  <c r="F31" i="73"/>
  <c r="F34" i="73"/>
  <c r="F42" i="73"/>
  <c r="F58" i="73"/>
  <c r="F70" i="73"/>
  <c r="F79" i="73"/>
  <c r="T19" i="74"/>
  <c r="L58" i="74"/>
  <c r="Z55" i="76"/>
  <c r="N63" i="76"/>
  <c r="L86" i="79"/>
  <c r="V60" i="70"/>
  <c r="V68" i="70"/>
  <c r="V72" i="70"/>
  <c r="V84" i="70"/>
  <c r="J36" i="71"/>
  <c r="J40" i="71"/>
  <c r="J44" i="71"/>
  <c r="J62" i="71"/>
  <c r="J80" i="71"/>
  <c r="J28" i="73"/>
  <c r="J31" i="73"/>
  <c r="F37" i="73"/>
  <c r="L48" i="73"/>
  <c r="J61" i="73"/>
  <c r="F64" i="73"/>
  <c r="J70" i="73"/>
  <c r="F73" i="73"/>
  <c r="F83" i="73"/>
  <c r="V35" i="74"/>
  <c r="F37" i="74"/>
  <c r="F51" i="74"/>
  <c r="F57" i="74"/>
  <c r="N68" i="74"/>
  <c r="V72" i="74"/>
  <c r="V77" i="74"/>
  <c r="H49" i="75"/>
  <c r="J49" i="75" s="1"/>
  <c r="R27" i="75"/>
  <c r="R38" i="75"/>
  <c r="L50" i="76"/>
  <c r="N50" i="76" s="1"/>
  <c r="Z57" i="76"/>
  <c r="N88" i="76"/>
  <c r="L88" i="76"/>
  <c r="D12" i="77"/>
  <c r="L13" i="77"/>
  <c r="N13" i="77" s="1"/>
  <c r="J85" i="77"/>
  <c r="Z16" i="79"/>
  <c r="X16" i="79"/>
  <c r="L20" i="82"/>
  <c r="N20" i="82" s="1"/>
  <c r="F59" i="83"/>
  <c r="F80" i="83"/>
  <c r="F78" i="83"/>
  <c r="F61" i="83"/>
  <c r="F60" i="83"/>
  <c r="F29" i="83"/>
  <c r="F69" i="83"/>
  <c r="F65" i="83"/>
  <c r="F50" i="83"/>
  <c r="F44" i="83"/>
  <c r="F87" i="83"/>
  <c r="F70" i="83"/>
  <c r="F67" i="83"/>
  <c r="F64" i="83"/>
  <c r="F63" i="83"/>
  <c r="F40" i="83"/>
  <c r="F26" i="83"/>
  <c r="F37" i="83"/>
  <c r="F34" i="83"/>
  <c r="F17" i="83"/>
  <c r="F16" i="83"/>
  <c r="F74" i="83"/>
  <c r="F51" i="83"/>
  <c r="F30" i="83"/>
  <c r="F57" i="83"/>
  <c r="F52" i="83"/>
  <c r="F45" i="83"/>
  <c r="F23" i="83"/>
  <c r="F22" i="83"/>
  <c r="F72" i="83"/>
  <c r="F58" i="83"/>
  <c r="F48" i="83"/>
  <c r="F47" i="83"/>
  <c r="F42" i="83"/>
  <c r="F28" i="83"/>
  <c r="F84" i="83"/>
  <c r="F62" i="83"/>
  <c r="F55" i="83"/>
  <c r="F36" i="83"/>
  <c r="F25" i="83"/>
  <c r="F75" i="83"/>
  <c r="F31" i="83"/>
  <c r="F24" i="83"/>
  <c r="F41" i="83"/>
  <c r="F21" i="83"/>
  <c r="F76" i="83"/>
  <c r="F73" i="83"/>
  <c r="F68" i="83"/>
  <c r="F53" i="83"/>
  <c r="F39" i="83"/>
  <c r="F56" i="83"/>
  <c r="F27" i="83"/>
  <c r="F71" i="83"/>
  <c r="D19" i="83"/>
  <c r="F54" i="83"/>
  <c r="F43" i="83"/>
  <c r="F82" i="83"/>
  <c r="F46" i="83"/>
  <c r="F32" i="83"/>
  <c r="L12" i="83"/>
  <c r="F66" i="83"/>
  <c r="F49" i="83"/>
  <c r="F38" i="83"/>
  <c r="J53" i="71"/>
  <c r="J57" i="71"/>
  <c r="J61" i="71"/>
  <c r="J79" i="71"/>
  <c r="J89" i="71"/>
  <c r="J75" i="73"/>
  <c r="J67" i="73"/>
  <c r="J51" i="73"/>
  <c r="J43" i="73"/>
  <c r="J39" i="73"/>
  <c r="J25" i="73"/>
  <c r="J52" i="73"/>
  <c r="J34" i="73"/>
  <c r="J30" i="73"/>
  <c r="J26" i="73"/>
  <c r="J24" i="73"/>
  <c r="J22" i="73"/>
  <c r="J68" i="73"/>
  <c r="J62" i="73"/>
  <c r="J54" i="73"/>
  <c r="J44" i="73"/>
  <c r="J40" i="73"/>
  <c r="J36" i="73"/>
  <c r="J72" i="73"/>
  <c r="J66" i="73"/>
  <c r="J58" i="73"/>
  <c r="J48" i="73"/>
  <c r="J42" i="73"/>
  <c r="J38" i="73"/>
  <c r="D22" i="73"/>
  <c r="J37" i="73"/>
  <c r="F44" i="73"/>
  <c r="J47" i="73"/>
  <c r="F54" i="73"/>
  <c r="J64" i="73"/>
  <c r="L69" i="73"/>
  <c r="N69" i="73" s="1"/>
  <c r="J73" i="73"/>
  <c r="F77" i="73"/>
  <c r="F28" i="74"/>
  <c r="R29" i="74"/>
  <c r="F31" i="74"/>
  <c r="V40" i="74"/>
  <c r="R44" i="74"/>
  <c r="F47" i="74"/>
  <c r="V48" i="74"/>
  <c r="F50" i="74"/>
  <c r="V55" i="74"/>
  <c r="F63" i="74"/>
  <c r="X68" i="74"/>
  <c r="R18" i="75"/>
  <c r="Z44" i="76"/>
  <c r="X50" i="76"/>
  <c r="Z50" i="76" s="1"/>
  <c r="Z22" i="79"/>
  <c r="V19" i="80"/>
  <c r="V25" i="80"/>
  <c r="V27" i="80"/>
  <c r="V39" i="80"/>
  <c r="V16" i="80"/>
  <c r="V18" i="80"/>
  <c r="T16" i="80"/>
  <c r="V34" i="80"/>
  <c r="V28" i="80"/>
  <c r="V30" i="80"/>
  <c r="Z12" i="80"/>
  <c r="V14" i="80"/>
  <c r="V32" i="80"/>
  <c r="V23" i="80"/>
  <c r="V20" i="80"/>
  <c r="V36" i="80"/>
  <c r="V21" i="80"/>
  <c r="V26" i="80"/>
  <c r="F33" i="83"/>
  <c r="V26" i="70"/>
  <c r="V30" i="70"/>
  <c r="V58" i="70"/>
  <c r="J66" i="71"/>
  <c r="J70" i="71"/>
  <c r="J78" i="71"/>
  <c r="J88" i="71"/>
  <c r="J94" i="71"/>
  <c r="L12" i="73"/>
  <c r="N12" i="73" s="1"/>
  <c r="F18" i="73"/>
  <c r="H22" i="73"/>
  <c r="F33" i="73"/>
  <c r="F69" i="73"/>
  <c r="R48" i="74"/>
  <c r="R47" i="74"/>
  <c r="R39" i="74"/>
  <c r="R35" i="74"/>
  <c r="R63" i="74"/>
  <c r="R62" i="74"/>
  <c r="R31" i="74"/>
  <c r="R30" i="74"/>
  <c r="R26" i="74"/>
  <c r="X12" i="74"/>
  <c r="R58" i="74"/>
  <c r="R57" i="74"/>
  <c r="R65" i="74"/>
  <c r="R64" i="74"/>
  <c r="R40" i="74"/>
  <c r="R36" i="74"/>
  <c r="R32" i="74"/>
  <c r="R21" i="74"/>
  <c r="R19" i="74"/>
  <c r="R72" i="74"/>
  <c r="R55" i="74"/>
  <c r="R54" i="74"/>
  <c r="R38" i="74"/>
  <c r="R34" i="74"/>
  <c r="R15" i="74"/>
  <c r="R17" i="74"/>
  <c r="R23" i="74"/>
  <c r="F39" i="74"/>
  <c r="R43" i="74"/>
  <c r="Z48" i="74"/>
  <c r="F60" i="74"/>
  <c r="R68" i="74"/>
  <c r="Z18" i="75"/>
  <c r="X18" i="75"/>
  <c r="R31" i="75"/>
  <c r="R42" i="75"/>
  <c r="J76" i="76"/>
  <c r="J82" i="76"/>
  <c r="J70" i="76"/>
  <c r="J54" i="76"/>
  <c r="J44" i="76"/>
  <c r="J30" i="76"/>
  <c r="J26" i="76"/>
  <c r="J88" i="76"/>
  <c r="J74" i="76"/>
  <c r="J60" i="76"/>
  <c r="J50" i="76"/>
  <c r="J32" i="76"/>
  <c r="J28" i="76"/>
  <c r="J80" i="76"/>
  <c r="J73" i="76"/>
  <c r="J46" i="76"/>
  <c r="J41" i="76"/>
  <c r="J38" i="76"/>
  <c r="J31" i="76"/>
  <c r="J18" i="76"/>
  <c r="J77" i="76"/>
  <c r="J62" i="76"/>
  <c r="J56" i="76"/>
  <c r="J51" i="76"/>
  <c r="J84" i="76"/>
  <c r="J35" i="76"/>
  <c r="J67" i="76"/>
  <c r="J63" i="76"/>
  <c r="J57" i="76"/>
  <c r="J47" i="76"/>
  <c r="J42" i="76"/>
  <c r="J85" i="76"/>
  <c r="J81" i="76"/>
  <c r="J68" i="76"/>
  <c r="J64" i="76"/>
  <c r="J58" i="76"/>
  <c r="J52" i="76"/>
  <c r="J29" i="76"/>
  <c r="J19" i="76"/>
  <c r="J92" i="76"/>
  <c r="J86" i="76"/>
  <c r="J78" i="76"/>
  <c r="J75" i="76"/>
  <c r="J71" i="76"/>
  <c r="J39" i="76"/>
  <c r="J36" i="76"/>
  <c r="J72" i="76"/>
  <c r="J65" i="76"/>
  <c r="J40" i="76"/>
  <c r="J23" i="76"/>
  <c r="H21" i="76"/>
  <c r="J21" i="76" s="1"/>
  <c r="J49" i="76"/>
  <c r="J37" i="76"/>
  <c r="J17" i="76"/>
  <c r="J43" i="76"/>
  <c r="Z61" i="76"/>
  <c r="Z83" i="76"/>
  <c r="L74" i="77"/>
  <c r="N74" i="77" s="1"/>
  <c r="F35" i="83"/>
  <c r="J23" i="75"/>
  <c r="J25" i="75"/>
  <c r="J27" i="75"/>
  <c r="J31" i="75"/>
  <c r="V31" i="76"/>
  <c r="V38" i="76"/>
  <c r="V51" i="76"/>
  <c r="V57" i="76"/>
  <c r="V63" i="76"/>
  <c r="V70" i="76"/>
  <c r="Z74" i="76"/>
  <c r="X83" i="76"/>
  <c r="Z114" i="77"/>
  <c r="V114" i="77"/>
  <c r="L12" i="79"/>
  <c r="L68" i="79"/>
  <c r="H98" i="79"/>
  <c r="X44" i="81"/>
  <c r="Z44" i="81" s="1"/>
  <c r="Z65" i="81"/>
  <c r="H87" i="83"/>
  <c r="N24" i="76"/>
  <c r="Z46" i="76"/>
  <c r="X55" i="76"/>
  <c r="X61" i="76"/>
  <c r="V73" i="76"/>
  <c r="Z80" i="76"/>
  <c r="X85" i="77"/>
  <c r="Z85" i="77" s="1"/>
  <c r="N91" i="77"/>
  <c r="F34" i="79"/>
  <c r="F48" i="79"/>
  <c r="X58" i="79"/>
  <c r="F68" i="79"/>
  <c r="F79" i="79"/>
  <c r="J94" i="81"/>
  <c r="J91" i="81"/>
  <c r="J77" i="81"/>
  <c r="J61" i="81"/>
  <c r="J55" i="81"/>
  <c r="J45" i="81"/>
  <c r="J37" i="81"/>
  <c r="J33" i="81"/>
  <c r="J19" i="81"/>
  <c r="J78" i="81"/>
  <c r="J72" i="81"/>
  <c r="J56" i="81"/>
  <c r="J28" i="81"/>
  <c r="J79" i="81"/>
  <c r="J67" i="81"/>
  <c r="J29" i="81"/>
  <c r="H16" i="81"/>
  <c r="J80" i="81"/>
  <c r="J68" i="81"/>
  <c r="J62" i="81"/>
  <c r="J46" i="81"/>
  <c r="J38" i="81"/>
  <c r="J34" i="81"/>
  <c r="J30" i="81"/>
  <c r="J81" i="81"/>
  <c r="J73" i="81"/>
  <c r="J69" i="81"/>
  <c r="J57" i="81"/>
  <c r="J47" i="81"/>
  <c r="J87" i="81"/>
  <c r="J51" i="81"/>
  <c r="J41" i="81"/>
  <c r="J89" i="81"/>
  <c r="J75" i="81"/>
  <c r="J71" i="81"/>
  <c r="J65" i="81"/>
  <c r="J59" i="81"/>
  <c r="J53" i="81"/>
  <c r="J43" i="81"/>
  <c r="J27" i="81"/>
  <c r="J23" i="81"/>
  <c r="L12" i="81"/>
  <c r="J76" i="81"/>
  <c r="J63" i="81"/>
  <c r="J32" i="81"/>
  <c r="J24" i="81"/>
  <c r="J16" i="81"/>
  <c r="J85" i="81"/>
  <c r="J50" i="81"/>
  <c r="J35" i="81"/>
  <c r="J42" i="81"/>
  <c r="J83" i="81"/>
  <c r="J58" i="81"/>
  <c r="J48" i="81"/>
  <c r="J18" i="81"/>
  <c r="J25" i="81"/>
  <c r="J22" i="81"/>
  <c r="J74" i="81"/>
  <c r="J36" i="81"/>
  <c r="N12" i="81"/>
  <c r="J84" i="81"/>
  <c r="J64" i="81"/>
  <c r="J39" i="81"/>
  <c r="Z43" i="83"/>
  <c r="X43" i="83"/>
  <c r="V82" i="85"/>
  <c r="V88" i="85"/>
  <c r="V72" i="85"/>
  <c r="V94" i="85"/>
  <c r="V86" i="85"/>
  <c r="V74" i="85"/>
  <c r="V70" i="85"/>
  <c r="V85" i="85"/>
  <c r="V57" i="85"/>
  <c r="V49" i="85"/>
  <c r="V33" i="85"/>
  <c r="V29" i="85"/>
  <c r="V93" i="85"/>
  <c r="V77" i="85"/>
  <c r="V69" i="85"/>
  <c r="V60" i="85"/>
  <c r="V48" i="85"/>
  <c r="V20" i="85"/>
  <c r="V80" i="85"/>
  <c r="V68" i="85"/>
  <c r="V59" i="85"/>
  <c r="V51" i="85"/>
  <c r="V43" i="85"/>
  <c r="V39" i="85"/>
  <c r="V73" i="85"/>
  <c r="V62" i="85"/>
  <c r="V50" i="85"/>
  <c r="V34" i="85"/>
  <c r="V30" i="85"/>
  <c r="V26" i="85"/>
  <c r="V90" i="85"/>
  <c r="V61" i="85"/>
  <c r="V53" i="85"/>
  <c r="V25" i="85"/>
  <c r="V21" i="85"/>
  <c r="V91" i="85"/>
  <c r="V83" i="85"/>
  <c r="V64" i="85"/>
  <c r="V52" i="85"/>
  <c r="V44" i="85"/>
  <c r="V40" i="85"/>
  <c r="V36" i="85"/>
  <c r="T23" i="85"/>
  <c r="V23" i="85" s="1"/>
  <c r="V97" i="85"/>
  <c r="V84" i="85"/>
  <c r="V71" i="85"/>
  <c r="V65" i="85"/>
  <c r="V45" i="85"/>
  <c r="V41" i="85"/>
  <c r="V37" i="85"/>
  <c r="V89" i="85"/>
  <c r="V79" i="85"/>
  <c r="V67" i="85"/>
  <c r="V55" i="85"/>
  <c r="V47" i="85"/>
  <c r="V19" i="85"/>
  <c r="V87" i="85"/>
  <c r="V66" i="85"/>
  <c r="V63" i="85"/>
  <c r="V58" i="85"/>
  <c r="V31" i="85"/>
  <c r="V78" i="85"/>
  <c r="V76" i="85"/>
  <c r="V56" i="85"/>
  <c r="V54" i="85"/>
  <c r="V35" i="85"/>
  <c r="V18" i="85"/>
  <c r="V92" i="85"/>
  <c r="V28" i="85"/>
  <c r="V101" i="85"/>
  <c r="V81" i="85"/>
  <c r="V95" i="85"/>
  <c r="V27" i="85"/>
  <c r="V75" i="85"/>
  <c r="V42" i="85"/>
  <c r="V46" i="85"/>
  <c r="V32" i="85"/>
  <c r="V38" i="85"/>
  <c r="Z28" i="89"/>
  <c r="X28" i="89"/>
  <c r="J39" i="75"/>
  <c r="J43" i="75"/>
  <c r="V37" i="76"/>
  <c r="V49" i="76"/>
  <c r="V55" i="76"/>
  <c r="V61" i="76"/>
  <c r="N68" i="76"/>
  <c r="V82" i="76"/>
  <c r="N45" i="79"/>
  <c r="L45" i="79"/>
  <c r="N50" i="79"/>
  <c r="L50" i="79"/>
  <c r="X14" i="80"/>
  <c r="P16" i="80"/>
  <c r="T56" i="88"/>
  <c r="Z16" i="88"/>
  <c r="V27" i="76"/>
  <c r="V40" i="76"/>
  <c r="V54" i="76"/>
  <c r="V60" i="76"/>
  <c r="V65" i="76"/>
  <c r="V69" i="76"/>
  <c r="Z46" i="77"/>
  <c r="X74" i="77"/>
  <c r="Z74" i="77" s="1"/>
  <c r="V78" i="77"/>
  <c r="L23" i="80"/>
  <c r="J49" i="81"/>
  <c r="N51" i="81"/>
  <c r="L51" i="81"/>
  <c r="Z78" i="83"/>
  <c r="X78" i="83"/>
  <c r="J29" i="75"/>
  <c r="J33" i="75"/>
  <c r="J51" i="75"/>
  <c r="T21" i="76"/>
  <c r="Z24" i="76"/>
  <c r="L85" i="76"/>
  <c r="N85" i="76" s="1"/>
  <c r="Z57" i="77"/>
  <c r="Z70" i="77"/>
  <c r="N80" i="77"/>
  <c r="V91" i="77"/>
  <c r="D12" i="78"/>
  <c r="F23" i="79"/>
  <c r="J23" i="80"/>
  <c r="J25" i="80"/>
  <c r="J26" i="80"/>
  <c r="J19" i="80"/>
  <c r="J21" i="80"/>
  <c r="H16" i="80"/>
  <c r="J27" i="80"/>
  <c r="J32" i="80"/>
  <c r="J20" i="80"/>
  <c r="J24" i="80"/>
  <c r="J14" i="80"/>
  <c r="J39" i="80"/>
  <c r="J28" i="80"/>
  <c r="J22" i="80"/>
  <c r="Z60" i="81"/>
  <c r="X60" i="81"/>
  <c r="J38" i="75"/>
  <c r="J42" i="75"/>
  <c r="V84" i="76"/>
  <c r="V72" i="76"/>
  <c r="V88" i="76"/>
  <c r="V86" i="76"/>
  <c r="V78" i="76"/>
  <c r="V74" i="76"/>
  <c r="V66" i="76"/>
  <c r="V58" i="76"/>
  <c r="V50" i="76"/>
  <c r="V18" i="76"/>
  <c r="V76" i="76"/>
  <c r="V64" i="76"/>
  <c r="V52" i="76"/>
  <c r="V44" i="76"/>
  <c r="V16" i="76"/>
  <c r="Z12" i="76"/>
  <c r="V21" i="76"/>
  <c r="V23" i="76"/>
  <c r="V24" i="76"/>
  <c r="V33" i="76"/>
  <c r="L57" i="76"/>
  <c r="L63" i="76"/>
  <c r="V71" i="76"/>
  <c r="V92" i="76"/>
  <c r="F85" i="79"/>
  <c r="F84" i="79"/>
  <c r="F77" i="79"/>
  <c r="F73" i="79"/>
  <c r="F49" i="79"/>
  <c r="F41" i="79"/>
  <c r="F37" i="79"/>
  <c r="F33" i="79"/>
  <c r="F32" i="79"/>
  <c r="F87" i="79"/>
  <c r="F86" i="79"/>
  <c r="F67" i="79"/>
  <c r="F51" i="79"/>
  <c r="F50" i="79"/>
  <c r="F81" i="79"/>
  <c r="F80" i="79"/>
  <c r="F65" i="79"/>
  <c r="F57" i="79"/>
  <c r="F56" i="79"/>
  <c r="F83" i="79"/>
  <c r="F82" i="79"/>
  <c r="F59" i="79"/>
  <c r="F58" i="79"/>
  <c r="F61" i="79"/>
  <c r="F93" i="79"/>
  <c r="F72" i="79"/>
  <c r="F62" i="79"/>
  <c r="F40" i="79"/>
  <c r="F25" i="79"/>
  <c r="F69" i="79"/>
  <c r="F66" i="79"/>
  <c r="F55" i="79"/>
  <c r="F43" i="79"/>
  <c r="F17" i="79"/>
  <c r="F16" i="79"/>
  <c r="F75" i="79"/>
  <c r="F52" i="79"/>
  <c r="F44" i="79"/>
  <c r="F35" i="79"/>
  <c r="F29" i="79"/>
  <c r="F78" i="79"/>
  <c r="F38" i="79"/>
  <c r="F95" i="79"/>
  <c r="F64" i="79"/>
  <c r="F45" i="79"/>
  <c r="F91" i="79"/>
  <c r="F60" i="79"/>
  <c r="F27" i="79"/>
  <c r="F20" i="79"/>
  <c r="F28" i="79"/>
  <c r="F47" i="79"/>
  <c r="F54" i="79"/>
  <c r="F76" i="79"/>
  <c r="X86" i="79"/>
  <c r="Z47" i="81"/>
  <c r="X47" i="81"/>
  <c r="J70" i="81"/>
  <c r="H99" i="85"/>
  <c r="J19" i="75"/>
  <c r="J47" i="75"/>
  <c r="V29" i="76"/>
  <c r="V32" i="76"/>
  <c r="V36" i="76"/>
  <c r="V39" i="76"/>
  <c r="N46" i="76"/>
  <c r="V48" i="76"/>
  <c r="L55" i="76"/>
  <c r="N55" i="76" s="1"/>
  <c r="L61" i="76"/>
  <c r="N61" i="76" s="1"/>
  <c r="V75" i="76"/>
  <c r="N80" i="76"/>
  <c r="V81" i="76"/>
  <c r="J76" i="77"/>
  <c r="L85" i="77"/>
  <c r="N85" i="77" s="1"/>
  <c r="T20" i="78"/>
  <c r="Z16" i="78"/>
  <c r="V16" i="78"/>
  <c r="N22" i="78"/>
  <c r="J22" i="78"/>
  <c r="F30" i="79"/>
  <c r="F39" i="79"/>
  <c r="L56" i="79"/>
  <c r="N56" i="79" s="1"/>
  <c r="J14" i="81"/>
  <c r="J31" i="81"/>
  <c r="L86" i="85"/>
  <c r="N86" i="85" s="1"/>
  <c r="J18" i="75"/>
  <c r="J28" i="75"/>
  <c r="V19" i="76"/>
  <c r="V47" i="76"/>
  <c r="V53" i="76"/>
  <c r="V59" i="76"/>
  <c r="Z68" i="76"/>
  <c r="N68" i="77"/>
  <c r="L76" i="77"/>
  <c r="Z80" i="77"/>
  <c r="X112" i="77"/>
  <c r="J16" i="80"/>
  <c r="J34" i="80"/>
  <c r="J26" i="81"/>
  <c r="J44" i="81"/>
  <c r="Z53" i="81"/>
  <c r="L65" i="81"/>
  <c r="X18" i="82"/>
  <c r="P78" i="82"/>
  <c r="Z47" i="84"/>
  <c r="X47" i="84"/>
  <c r="V36" i="77"/>
  <c r="V40" i="77"/>
  <c r="J44" i="77"/>
  <c r="J46" i="77"/>
  <c r="J48" i="77"/>
  <c r="J52" i="77"/>
  <c r="J56" i="77"/>
  <c r="V68" i="77"/>
  <c r="J74" i="77"/>
  <c r="V80" i="77"/>
  <c r="J84" i="77"/>
  <c r="V88" i="77"/>
  <c r="V96" i="77"/>
  <c r="J100" i="77"/>
  <c r="J120" i="77"/>
  <c r="J122" i="77"/>
  <c r="J26" i="78"/>
  <c r="J28" i="78"/>
  <c r="V80" i="79"/>
  <c r="V64" i="79"/>
  <c r="V56" i="79"/>
  <c r="V44" i="79"/>
  <c r="V82" i="79"/>
  <c r="V58" i="79"/>
  <c r="V46" i="79"/>
  <c r="V30" i="79"/>
  <c r="V68" i="79"/>
  <c r="V60" i="79"/>
  <c r="V52" i="79"/>
  <c r="V78" i="79"/>
  <c r="V74" i="79"/>
  <c r="V70" i="79"/>
  <c r="V62" i="79"/>
  <c r="V54" i="79"/>
  <c r="V42" i="79"/>
  <c r="V38" i="79"/>
  <c r="V34" i="79"/>
  <c r="V32" i="79"/>
  <c r="V37" i="79"/>
  <c r="J39" i="79"/>
  <c r="J47" i="79"/>
  <c r="V51" i="79"/>
  <c r="J54" i="79"/>
  <c r="J71" i="79"/>
  <c r="V77" i="79"/>
  <c r="J79" i="79"/>
  <c r="L89" i="79"/>
  <c r="R27" i="80"/>
  <c r="R26" i="80"/>
  <c r="R28" i="80"/>
  <c r="X12" i="80"/>
  <c r="R32" i="80"/>
  <c r="R30" i="80"/>
  <c r="R23" i="80"/>
  <c r="R22" i="80"/>
  <c r="R25" i="80"/>
  <c r="R24" i="80"/>
  <c r="V32" i="81"/>
  <c r="Z76" i="81"/>
  <c r="X76" i="81"/>
  <c r="Z18" i="82"/>
  <c r="T78" i="82"/>
  <c r="R22" i="82"/>
  <c r="X48" i="82"/>
  <c r="R56" i="82"/>
  <c r="R57" i="82"/>
  <c r="R26" i="83"/>
  <c r="R75" i="83"/>
  <c r="F26" i="84"/>
  <c r="R47" i="84"/>
  <c r="F58" i="84"/>
  <c r="J98" i="77"/>
  <c r="J110" i="77"/>
  <c r="J118" i="77"/>
  <c r="L63" i="79"/>
  <c r="J85" i="79"/>
  <c r="J91" i="79"/>
  <c r="V34" i="81"/>
  <c r="R39" i="82"/>
  <c r="L45" i="82"/>
  <c r="N45" i="82" s="1"/>
  <c r="X64" i="82"/>
  <c r="R19" i="83"/>
  <c r="R33" i="83"/>
  <c r="R40" i="83"/>
  <c r="R43" i="83"/>
  <c r="R74" i="83"/>
  <c r="R78" i="83"/>
  <c r="X17" i="84"/>
  <c r="F30" i="84"/>
  <c r="R46" i="84"/>
  <c r="L72" i="84"/>
  <c r="Z15" i="87"/>
  <c r="T17" i="87"/>
  <c r="X15" i="87"/>
  <c r="J116" i="77"/>
  <c r="N21" i="80"/>
  <c r="V83" i="81"/>
  <c r="V81" i="81"/>
  <c r="V73" i="81"/>
  <c r="V69" i="81"/>
  <c r="V57" i="81"/>
  <c r="V49" i="81"/>
  <c r="V25" i="81"/>
  <c r="V21" i="81"/>
  <c r="V84" i="81"/>
  <c r="V48" i="81"/>
  <c r="V40" i="81"/>
  <c r="V87" i="81"/>
  <c r="V85" i="81"/>
  <c r="V63" i="81"/>
  <c r="V51" i="81"/>
  <c r="V39" i="81"/>
  <c r="V35" i="81"/>
  <c r="V31" i="81"/>
  <c r="V74" i="81"/>
  <c r="V70" i="81"/>
  <c r="V58" i="81"/>
  <c r="V50" i="81"/>
  <c r="V42" i="81"/>
  <c r="V26" i="81"/>
  <c r="V22" i="81"/>
  <c r="V65" i="81"/>
  <c r="V53" i="81"/>
  <c r="V77" i="81"/>
  <c r="V61" i="81"/>
  <c r="V45" i="81"/>
  <c r="V37" i="81"/>
  <c r="V33" i="81"/>
  <c r="V29" i="81"/>
  <c r="T16" i="81"/>
  <c r="V79" i="81"/>
  <c r="V67" i="81"/>
  <c r="V47" i="81"/>
  <c r="N19" i="81"/>
  <c r="V20" i="81"/>
  <c r="V43" i="81"/>
  <c r="V44" i="81"/>
  <c r="V54" i="81"/>
  <c r="V59" i="81"/>
  <c r="V60" i="81"/>
  <c r="V64" i="81"/>
  <c r="V91" i="81"/>
  <c r="R61" i="82"/>
  <c r="R54" i="82"/>
  <c r="R53" i="82"/>
  <c r="R37" i="82"/>
  <c r="R33" i="82"/>
  <c r="R73" i="82"/>
  <c r="R72" i="82"/>
  <c r="R45" i="82"/>
  <c r="R44" i="82"/>
  <c r="R28" i="82"/>
  <c r="R24" i="82"/>
  <c r="R67" i="82"/>
  <c r="R55" i="82"/>
  <c r="R74" i="82"/>
  <c r="R62" i="82"/>
  <c r="R46" i="82"/>
  <c r="R38" i="82"/>
  <c r="R34" i="82"/>
  <c r="R15" i="82"/>
  <c r="R78" i="82"/>
  <c r="R76" i="82"/>
  <c r="R30" i="82"/>
  <c r="R29" i="82"/>
  <c r="R25" i="82"/>
  <c r="R85" i="82"/>
  <c r="R82" i="82"/>
  <c r="R70" i="82"/>
  <c r="R69" i="82"/>
  <c r="R65" i="82"/>
  <c r="R50" i="82"/>
  <c r="R49" i="82"/>
  <c r="R71" i="82"/>
  <c r="R52" i="82"/>
  <c r="R51" i="82"/>
  <c r="R27" i="82"/>
  <c r="R23" i="82"/>
  <c r="R16" i="82"/>
  <c r="R59" i="82"/>
  <c r="R66" i="82"/>
  <c r="R45" i="83"/>
  <c r="T21" i="84"/>
  <c r="Z17" i="84"/>
  <c r="F25" i="84"/>
  <c r="F45" i="84"/>
  <c r="R68" i="84"/>
  <c r="T90" i="86"/>
  <c r="X23" i="86"/>
  <c r="L84" i="86"/>
  <c r="D83" i="86"/>
  <c r="L83" i="86" s="1"/>
  <c r="Z20" i="87"/>
  <c r="Z18" i="88"/>
  <c r="L13" i="78"/>
  <c r="N13" i="78" s="1"/>
  <c r="L13" i="79"/>
  <c r="X19" i="80"/>
  <c r="V28" i="81"/>
  <c r="V46" i="81"/>
  <c r="R21" i="82"/>
  <c r="R26" i="82"/>
  <c r="R36" i="82"/>
  <c r="R47" i="82"/>
  <c r="Z59" i="82"/>
  <c r="X59" i="82"/>
  <c r="R87" i="83"/>
  <c r="R84" i="83"/>
  <c r="R72" i="83"/>
  <c r="R71" i="83"/>
  <c r="R67" i="83"/>
  <c r="R39" i="83"/>
  <c r="R35" i="83"/>
  <c r="R73" i="83"/>
  <c r="R57" i="83"/>
  <c r="R61" i="83"/>
  <c r="R23" i="83"/>
  <c r="P19" i="83"/>
  <c r="R68" i="83"/>
  <c r="R53" i="83"/>
  <c r="R52" i="83"/>
  <c r="R46" i="83"/>
  <c r="R41" i="83"/>
  <c r="R27" i="83"/>
  <c r="R82" i="83"/>
  <c r="R65" i="83"/>
  <c r="R47" i="83"/>
  <c r="R38" i="83"/>
  <c r="R76" i="83"/>
  <c r="R32" i="83"/>
  <c r="R31" i="83"/>
  <c r="R24" i="83"/>
  <c r="R58" i="83"/>
  <c r="R54" i="83"/>
  <c r="R48" i="83"/>
  <c r="R28" i="83"/>
  <c r="R59" i="83"/>
  <c r="R56" i="83"/>
  <c r="R50" i="83"/>
  <c r="R29" i="83"/>
  <c r="R16" i="83"/>
  <c r="R80" i="83"/>
  <c r="R70" i="83"/>
  <c r="R37" i="83"/>
  <c r="R22" i="83"/>
  <c r="R17" i="83"/>
  <c r="R25" i="83"/>
  <c r="F41" i="84"/>
  <c r="F37" i="84"/>
  <c r="F79" i="84"/>
  <c r="F77" i="84"/>
  <c r="F68" i="84"/>
  <c r="F48" i="84"/>
  <c r="F47" i="84"/>
  <c r="F32" i="84"/>
  <c r="F28" i="84"/>
  <c r="F81" i="84"/>
  <c r="F59" i="84"/>
  <c r="F19" i="84"/>
  <c r="F50" i="84"/>
  <c r="F49" i="84"/>
  <c r="F42" i="84"/>
  <c r="F38" i="84"/>
  <c r="F69" i="84"/>
  <c r="F61" i="84"/>
  <c r="F60" i="84"/>
  <c r="F86" i="84"/>
  <c r="F83" i="84"/>
  <c r="F52" i="84"/>
  <c r="F51" i="84"/>
  <c r="F73" i="84"/>
  <c r="F72" i="84"/>
  <c r="F65" i="84"/>
  <c r="F64" i="84"/>
  <c r="F75" i="84"/>
  <c r="F74" i="84"/>
  <c r="F67" i="84"/>
  <c r="F66" i="84"/>
  <c r="F31" i="84"/>
  <c r="F27" i="84"/>
  <c r="F56" i="84"/>
  <c r="F39" i="84"/>
  <c r="F34" i="84"/>
  <c r="F17" i="84"/>
  <c r="F71" i="84"/>
  <c r="F44" i="84"/>
  <c r="F29" i="84"/>
  <c r="F18" i="84"/>
  <c r="L12" i="84"/>
  <c r="F62" i="84"/>
  <c r="F53" i="84"/>
  <c r="F23" i="84"/>
  <c r="F24" i="84"/>
  <c r="F57" i="84"/>
  <c r="F40" i="84"/>
  <c r="F63" i="84"/>
  <c r="F46" i="84"/>
  <c r="F43" i="84"/>
  <c r="F33" i="84"/>
  <c r="F55" i="84"/>
  <c r="F21" i="84"/>
  <c r="Z62" i="84"/>
  <c r="X62" i="84"/>
  <c r="L60" i="86"/>
  <c r="N60" i="86"/>
  <c r="V38" i="77"/>
  <c r="V42" i="77"/>
  <c r="V44" i="77"/>
  <c r="V46" i="77"/>
  <c r="J50" i="77"/>
  <c r="J54" i="77"/>
  <c r="J68" i="77"/>
  <c r="V74" i="77"/>
  <c r="J80" i="77"/>
  <c r="V82" i="77"/>
  <c r="J90" i="77"/>
  <c r="V98" i="77"/>
  <c r="V110" i="77"/>
  <c r="V118" i="77"/>
  <c r="V120" i="77"/>
  <c r="V24" i="78"/>
  <c r="V26" i="78"/>
  <c r="T20" i="79"/>
  <c r="V22" i="79"/>
  <c r="J29" i="79"/>
  <c r="V33" i="79"/>
  <c r="J35" i="79"/>
  <c r="V41" i="79"/>
  <c r="J44" i="79"/>
  <c r="V47" i="79"/>
  <c r="N52" i="79"/>
  <c r="V73" i="79"/>
  <c r="J75" i="79"/>
  <c r="J87" i="79"/>
  <c r="R39" i="80"/>
  <c r="Z12" i="81"/>
  <c r="D16" i="81"/>
  <c r="V36" i="81"/>
  <c r="V56" i="81"/>
  <c r="V66" i="81"/>
  <c r="X12" i="82"/>
  <c r="R20" i="82"/>
  <c r="R31" i="82"/>
  <c r="R41" i="82"/>
  <c r="R58" i="82"/>
  <c r="R63" i="82"/>
  <c r="R51" i="83"/>
  <c r="R66" i="83"/>
  <c r="L15" i="84"/>
  <c r="F36" i="84"/>
  <c r="R48" i="84"/>
  <c r="F54" i="84"/>
  <c r="N69" i="85"/>
  <c r="F64" i="86"/>
  <c r="F63" i="86"/>
  <c r="F48" i="86"/>
  <c r="F47" i="86"/>
  <c r="F40" i="86"/>
  <c r="F36" i="86"/>
  <c r="F79" i="86"/>
  <c r="F31" i="86"/>
  <c r="F27" i="86"/>
  <c r="F74" i="86"/>
  <c r="F70" i="86"/>
  <c r="F58" i="86"/>
  <c r="F18" i="86"/>
  <c r="F81" i="86"/>
  <c r="F80" i="86"/>
  <c r="F84" i="86"/>
  <c r="F75" i="86"/>
  <c r="F71" i="86"/>
  <c r="F67" i="86"/>
  <c r="F66" i="86"/>
  <c r="F59" i="86"/>
  <c r="F51" i="86"/>
  <c r="F50" i="86"/>
  <c r="F22" i="86"/>
  <c r="F20" i="86"/>
  <c r="F88" i="86"/>
  <c r="F76" i="86"/>
  <c r="F72" i="86"/>
  <c r="F68" i="86"/>
  <c r="F44" i="86"/>
  <c r="F43" i="86"/>
  <c r="L12" i="86"/>
  <c r="F86" i="86"/>
  <c r="F69" i="86"/>
  <c r="F49" i="86"/>
  <c r="F35" i="86"/>
  <c r="F29" i="86"/>
  <c r="F90" i="86"/>
  <c r="F83" i="86"/>
  <c r="F61" i="86"/>
  <c r="F46" i="86"/>
  <c r="F32" i="86"/>
  <c r="F38" i="86"/>
  <c r="F24" i="86"/>
  <c r="F16" i="86"/>
  <c r="F77" i="86"/>
  <c r="F52" i="86"/>
  <c r="F33" i="86"/>
  <c r="D20" i="86"/>
  <c r="F56" i="86"/>
  <c r="F30" i="86"/>
  <c r="F65" i="86"/>
  <c r="F62" i="86"/>
  <c r="F41" i="86"/>
  <c r="F78" i="86"/>
  <c r="F73" i="86"/>
  <c r="F57" i="86"/>
  <c r="F28" i="86"/>
  <c r="F60" i="86"/>
  <c r="F37" i="86"/>
  <c r="F26" i="86"/>
  <c r="F23" i="86"/>
  <c r="F42" i="86"/>
  <c r="F17" i="86"/>
  <c r="F25" i="86"/>
  <c r="F45" i="86"/>
  <c r="F54" i="86"/>
  <c r="F34" i="86"/>
  <c r="F93" i="86"/>
  <c r="F53" i="86"/>
  <c r="Z20" i="86"/>
  <c r="J67" i="77"/>
  <c r="J79" i="77"/>
  <c r="J89" i="77"/>
  <c r="J103" i="77"/>
  <c r="J107" i="77"/>
  <c r="J115" i="77"/>
  <c r="J55" i="79"/>
  <c r="N53" i="81"/>
  <c r="V80" i="81"/>
  <c r="Z20" i="82"/>
  <c r="R68" i="82"/>
  <c r="N73" i="82"/>
  <c r="L73" i="82"/>
  <c r="X12" i="83"/>
  <c r="N21" i="83"/>
  <c r="D21" i="84"/>
  <c r="N94" i="85"/>
  <c r="J36" i="77"/>
  <c r="J40" i="77"/>
  <c r="J78" i="77"/>
  <c r="J88" i="77"/>
  <c r="V92" i="77"/>
  <c r="J96" i="77"/>
  <c r="J102" i="77"/>
  <c r="V104" i="77"/>
  <c r="V108" i="77"/>
  <c r="J114" i="77"/>
  <c r="J16" i="78"/>
  <c r="J86" i="79"/>
  <c r="J60" i="79"/>
  <c r="J50" i="79"/>
  <c r="J28" i="79"/>
  <c r="J24" i="79"/>
  <c r="J22" i="79"/>
  <c r="J20" i="79"/>
  <c r="J78" i="79"/>
  <c r="J74" i="79"/>
  <c r="J68" i="79"/>
  <c r="J62" i="79"/>
  <c r="J52" i="79"/>
  <c r="J42" i="79"/>
  <c r="J38" i="79"/>
  <c r="J34" i="79"/>
  <c r="J82" i="79"/>
  <c r="J76" i="79"/>
  <c r="J72" i="79"/>
  <c r="J58" i="79"/>
  <c r="J48" i="79"/>
  <c r="J40" i="79"/>
  <c r="J36" i="79"/>
  <c r="J84" i="79"/>
  <c r="J66" i="79"/>
  <c r="J32" i="79"/>
  <c r="J16" i="79"/>
  <c r="J25" i="79"/>
  <c r="L32" i="79"/>
  <c r="J43" i="79"/>
  <c r="Z56" i="79"/>
  <c r="V89" i="79"/>
  <c r="J93" i="79"/>
  <c r="V95" i="79"/>
  <c r="Z21" i="80"/>
  <c r="V19" i="81"/>
  <c r="V30" i="81"/>
  <c r="V38" i="81"/>
  <c r="X42" i="81"/>
  <c r="L53" i="81"/>
  <c r="R44" i="83"/>
  <c r="R60" i="83"/>
  <c r="R63" i="83"/>
  <c r="R70" i="84"/>
  <c r="R69" i="84"/>
  <c r="R62" i="84"/>
  <c r="R61" i="84"/>
  <c r="R34" i="84"/>
  <c r="R33" i="84"/>
  <c r="R29" i="84"/>
  <c r="R25" i="84"/>
  <c r="P21" i="84"/>
  <c r="R53" i="84"/>
  <c r="R52" i="84"/>
  <c r="R72" i="84"/>
  <c r="R71" i="84"/>
  <c r="R64" i="84"/>
  <c r="R63" i="84"/>
  <c r="R43" i="84"/>
  <c r="R39" i="84"/>
  <c r="R35" i="84"/>
  <c r="R55" i="84"/>
  <c r="R54" i="84"/>
  <c r="R30" i="84"/>
  <c r="R26" i="84"/>
  <c r="R74" i="84"/>
  <c r="R73" i="84"/>
  <c r="R66" i="84"/>
  <c r="R65" i="84"/>
  <c r="R57" i="84"/>
  <c r="R56" i="84"/>
  <c r="R45" i="84"/>
  <c r="R44" i="84"/>
  <c r="R40" i="84"/>
  <c r="R41" i="84"/>
  <c r="R37" i="84"/>
  <c r="R81" i="84"/>
  <c r="R60" i="84"/>
  <c r="R59" i="84"/>
  <c r="R24" i="84"/>
  <c r="R19" i="84"/>
  <c r="R42" i="84"/>
  <c r="R32" i="84"/>
  <c r="R27" i="84"/>
  <c r="R67" i="84"/>
  <c r="R51" i="84"/>
  <c r="R49" i="84"/>
  <c r="R58" i="84"/>
  <c r="R38" i="84"/>
  <c r="R50" i="84"/>
  <c r="R31" i="84"/>
  <c r="R23" i="84"/>
  <c r="R18" i="84"/>
  <c r="X12" i="84"/>
  <c r="H86" i="84"/>
  <c r="N22" i="86"/>
  <c r="F19" i="80"/>
  <c r="F20" i="80"/>
  <c r="F34" i="80"/>
  <c r="P16" i="81"/>
  <c r="R20" i="81"/>
  <c r="R24" i="81"/>
  <c r="R28" i="81"/>
  <c r="R29" i="81"/>
  <c r="F32" i="81"/>
  <c r="F36" i="81"/>
  <c r="F51" i="81"/>
  <c r="F52" i="81"/>
  <c r="R56" i="81"/>
  <c r="F64" i="81"/>
  <c r="R72" i="81"/>
  <c r="F87" i="81"/>
  <c r="J18" i="82"/>
  <c r="J20" i="82"/>
  <c r="J22" i="82"/>
  <c r="J26" i="82"/>
  <c r="V42" i="82"/>
  <c r="J48" i="82"/>
  <c r="V54" i="82"/>
  <c r="J58" i="82"/>
  <c r="J64" i="82"/>
  <c r="V66" i="82"/>
  <c r="J80" i="82"/>
  <c r="T19" i="83"/>
  <c r="J33" i="83"/>
  <c r="V34" i="83"/>
  <c r="X51" i="83"/>
  <c r="J73" i="83"/>
  <c r="J17" i="84"/>
  <c r="J26" i="84"/>
  <c r="J34" i="84"/>
  <c r="J47" i="84"/>
  <c r="J75" i="84"/>
  <c r="Z47" i="85"/>
  <c r="Z49" i="85"/>
  <c r="R23" i="86"/>
  <c r="Z47" i="86"/>
  <c r="R53" i="91"/>
  <c r="R52" i="91"/>
  <c r="R29" i="91"/>
  <c r="R28" i="91"/>
  <c r="R24" i="91"/>
  <c r="R58" i="91"/>
  <c r="R56" i="91"/>
  <c r="R60" i="91"/>
  <c r="R26" i="91"/>
  <c r="R43" i="91"/>
  <c r="R32" i="91"/>
  <c r="R22" i="91"/>
  <c r="X12" i="91"/>
  <c r="R49" i="91"/>
  <c r="R46" i="91"/>
  <c r="R39" i="91"/>
  <c r="R36" i="91"/>
  <c r="R23" i="91"/>
  <c r="R62" i="91"/>
  <c r="R18" i="91"/>
  <c r="R16" i="91"/>
  <c r="R14" i="91"/>
  <c r="R51" i="91"/>
  <c r="R47" i="91"/>
  <c r="R42" i="91"/>
  <c r="R34" i="91"/>
  <c r="R31" i="91"/>
  <c r="R45" i="91"/>
  <c r="R21" i="91"/>
  <c r="R50" i="91"/>
  <c r="R48" i="91"/>
  <c r="R30" i="91"/>
  <c r="R20" i="91"/>
  <c r="R37" i="91"/>
  <c r="R40" i="91"/>
  <c r="R35" i="91"/>
  <c r="R33" i="91"/>
  <c r="R27" i="91"/>
  <c r="R25" i="91"/>
  <c r="R54" i="91"/>
  <c r="P16" i="91"/>
  <c r="R44" i="91"/>
  <c r="R19" i="81"/>
  <c r="F22" i="81"/>
  <c r="F26" i="81"/>
  <c r="F49" i="81"/>
  <c r="F50" i="81"/>
  <c r="R54" i="81"/>
  <c r="R55" i="81"/>
  <c r="F58" i="81"/>
  <c r="R66" i="81"/>
  <c r="F70" i="81"/>
  <c r="F74" i="81"/>
  <c r="F83" i="81"/>
  <c r="F85" i="81"/>
  <c r="R91" i="81"/>
  <c r="R94" i="81"/>
  <c r="V32" i="82"/>
  <c r="V36" i="82"/>
  <c r="V40" i="82"/>
  <c r="V52" i="82"/>
  <c r="J56" i="82"/>
  <c r="V60" i="82"/>
  <c r="J68" i="82"/>
  <c r="J76" i="82"/>
  <c r="J78" i="82"/>
  <c r="V62" i="83"/>
  <c r="V46" i="83"/>
  <c r="V30" i="83"/>
  <c r="V26" i="83"/>
  <c r="V68" i="83"/>
  <c r="V64" i="83"/>
  <c r="V48" i="83"/>
  <c r="V40" i="83"/>
  <c r="V36" i="83"/>
  <c r="V32" i="83"/>
  <c r="V87" i="83"/>
  <c r="V84" i="83"/>
  <c r="V82" i="83"/>
  <c r="V72" i="83"/>
  <c r="V56" i="83"/>
  <c r="V44" i="83"/>
  <c r="V22" i="83"/>
  <c r="J39" i="83"/>
  <c r="J55" i="83"/>
  <c r="V80" i="83"/>
  <c r="J84" i="83"/>
  <c r="J55" i="84"/>
  <c r="Z77" i="84"/>
  <c r="X77" i="84"/>
  <c r="R84" i="86"/>
  <c r="R83" i="86"/>
  <c r="R28" i="86"/>
  <c r="R24" i="86"/>
  <c r="P20" i="86"/>
  <c r="R86" i="86"/>
  <c r="R75" i="86"/>
  <c r="R71" i="86"/>
  <c r="R67" i="86"/>
  <c r="R60" i="86"/>
  <c r="R59" i="86"/>
  <c r="R52" i="86"/>
  <c r="R51" i="86"/>
  <c r="R43" i="86"/>
  <c r="R42" i="86"/>
  <c r="R38" i="86"/>
  <c r="R34" i="86"/>
  <c r="R88" i="86"/>
  <c r="R77" i="86"/>
  <c r="R76" i="86"/>
  <c r="R72" i="86"/>
  <c r="R68" i="86"/>
  <c r="R93" i="86"/>
  <c r="R90" i="86"/>
  <c r="R56" i="86"/>
  <c r="R55" i="86"/>
  <c r="R39" i="86"/>
  <c r="R35" i="86"/>
  <c r="R16" i="86"/>
  <c r="R64" i="86"/>
  <c r="R48" i="86"/>
  <c r="R40" i="86"/>
  <c r="R36" i="86"/>
  <c r="R47" i="86"/>
  <c r="R33" i="86"/>
  <c r="R30" i="86"/>
  <c r="R27" i="86"/>
  <c r="R20" i="86"/>
  <c r="R70" i="86"/>
  <c r="R62" i="86"/>
  <c r="R80" i="86"/>
  <c r="R65" i="86"/>
  <c r="R53" i="86"/>
  <c r="R50" i="86"/>
  <c r="R41" i="86"/>
  <c r="R25" i="86"/>
  <c r="R17" i="86"/>
  <c r="R54" i="86"/>
  <c r="R44" i="86"/>
  <c r="R78" i="86"/>
  <c r="R73" i="86"/>
  <c r="R63" i="86"/>
  <c r="R57" i="86"/>
  <c r="R45" i="86"/>
  <c r="R22" i="86"/>
  <c r="X12" i="86"/>
  <c r="R66" i="86"/>
  <c r="R69" i="86"/>
  <c r="R29" i="86"/>
  <c r="R79" i="86"/>
  <c r="R49" i="86"/>
  <c r="X56" i="94"/>
  <c r="Z56" i="94" s="1"/>
  <c r="P12" i="85"/>
  <c r="Z36" i="85"/>
  <c r="X36" i="85"/>
  <c r="L58" i="85"/>
  <c r="N58" i="85" s="1"/>
  <c r="Z22" i="86"/>
  <c r="R26" i="86"/>
  <c r="R63" i="81"/>
  <c r="F78" i="81"/>
  <c r="F79" i="81"/>
  <c r="P83" i="81"/>
  <c r="X83" i="81" s="1"/>
  <c r="R85" i="81"/>
  <c r="L13" i="82"/>
  <c r="V57" i="82"/>
  <c r="J61" i="82"/>
  <c r="L13" i="83"/>
  <c r="V28" i="83"/>
  <c r="V49" i="83"/>
  <c r="V54" i="83"/>
  <c r="V55" i="83"/>
  <c r="J57" i="83"/>
  <c r="V58" i="83"/>
  <c r="J75" i="83"/>
  <c r="X13" i="84"/>
  <c r="L23" i="84"/>
  <c r="X70" i="84"/>
  <c r="L25" i="85"/>
  <c r="N25" i="85" s="1"/>
  <c r="Z26" i="85"/>
  <c r="Z94" i="85"/>
  <c r="R18" i="86"/>
  <c r="R32" i="86"/>
  <c r="Z19" i="87"/>
  <c r="X19" i="87"/>
  <c r="R48" i="81"/>
  <c r="R49" i="81"/>
  <c r="F55" i="81"/>
  <c r="F56" i="81"/>
  <c r="F72" i="81"/>
  <c r="R83" i="81"/>
  <c r="R84" i="81"/>
  <c r="F91" i="81"/>
  <c r="F94" i="81"/>
  <c r="V30" i="82"/>
  <c r="V34" i="82"/>
  <c r="V38" i="82"/>
  <c r="J42" i="82"/>
  <c r="V46" i="82"/>
  <c r="J52" i="82"/>
  <c r="V62" i="82"/>
  <c r="J66" i="82"/>
  <c r="V74" i="82"/>
  <c r="V76" i="82"/>
  <c r="V78" i="82"/>
  <c r="V24" i="83"/>
  <c r="V31" i="83"/>
  <c r="V35" i="83"/>
  <c r="J45" i="83"/>
  <c r="X55" i="83"/>
  <c r="V61" i="83"/>
  <c r="V76" i="83"/>
  <c r="J68" i="84"/>
  <c r="J48" i="84"/>
  <c r="J32" i="84"/>
  <c r="J28" i="84"/>
  <c r="J81" i="84"/>
  <c r="J59" i="84"/>
  <c r="J49" i="84"/>
  <c r="J60" i="84"/>
  <c r="J50" i="84"/>
  <c r="J42" i="84"/>
  <c r="J38" i="84"/>
  <c r="J24" i="84"/>
  <c r="N12" i="84"/>
  <c r="J86" i="84"/>
  <c r="J83" i="84"/>
  <c r="J69" i="84"/>
  <c r="J61" i="84"/>
  <c r="J51" i="84"/>
  <c r="J33" i="84"/>
  <c r="J29" i="84"/>
  <c r="J70" i="84"/>
  <c r="J62" i="84"/>
  <c r="J52" i="84"/>
  <c r="J71" i="84"/>
  <c r="J63" i="84"/>
  <c r="J53" i="84"/>
  <c r="J43" i="84"/>
  <c r="J74" i="84"/>
  <c r="J66" i="84"/>
  <c r="J56" i="84"/>
  <c r="J44" i="84"/>
  <c r="J40" i="84"/>
  <c r="J36" i="84"/>
  <c r="J58" i="84"/>
  <c r="J46" i="84"/>
  <c r="J18" i="84"/>
  <c r="J57" i="84"/>
  <c r="L64" i="84"/>
  <c r="L49" i="85"/>
  <c r="X64" i="85"/>
  <c r="Z64" i="85" s="1"/>
  <c r="R61" i="86"/>
  <c r="Z17" i="90"/>
  <c r="T40" i="90"/>
  <c r="R65" i="91"/>
  <c r="N19" i="83"/>
  <c r="V71" i="83"/>
  <c r="N23" i="84"/>
  <c r="L34" i="84"/>
  <c r="N53" i="84"/>
  <c r="L53" i="84"/>
  <c r="J77" i="84"/>
  <c r="N49" i="85"/>
  <c r="R58" i="88"/>
  <c r="R63" i="88"/>
  <c r="R60" i="88"/>
  <c r="R46" i="88"/>
  <c r="R45" i="88"/>
  <c r="R37" i="88"/>
  <c r="R33" i="88"/>
  <c r="R24" i="88"/>
  <c r="R48" i="88"/>
  <c r="R47" i="88"/>
  <c r="R49" i="88"/>
  <c r="R25" i="88"/>
  <c r="R21" i="88"/>
  <c r="R56" i="88"/>
  <c r="R34" i="88"/>
  <c r="R20" i="88"/>
  <c r="R52" i="88"/>
  <c r="R40" i="88"/>
  <c r="R23" i="88"/>
  <c r="R43" i="88"/>
  <c r="R32" i="88"/>
  <c r="R29" i="88"/>
  <c r="R26" i="88"/>
  <c r="R35" i="88"/>
  <c r="R41" i="88"/>
  <c r="R39" i="88"/>
  <c r="R22" i="88"/>
  <c r="R30" i="88"/>
  <c r="R28" i="88"/>
  <c r="R51" i="88"/>
  <c r="R14" i="88"/>
  <c r="R53" i="88"/>
  <c r="R44" i="88"/>
  <c r="R42" i="88"/>
  <c r="P16" i="88"/>
  <c r="R54" i="88"/>
  <c r="R27" i="88"/>
  <c r="R18" i="88"/>
  <c r="D16" i="80"/>
  <c r="F21" i="80"/>
  <c r="R30" i="81"/>
  <c r="R34" i="81"/>
  <c r="R38" i="81"/>
  <c r="R46" i="81"/>
  <c r="R47" i="81"/>
  <c r="F53" i="81"/>
  <c r="F54" i="81"/>
  <c r="F65" i="81"/>
  <c r="V24" i="82"/>
  <c r="V28" i="82"/>
  <c r="J32" i="82"/>
  <c r="J36" i="82"/>
  <c r="J40" i="82"/>
  <c r="V44" i="82"/>
  <c r="J50" i="82"/>
  <c r="J60" i="82"/>
  <c r="J70" i="82"/>
  <c r="J82" i="82"/>
  <c r="J80" i="83"/>
  <c r="J78" i="83"/>
  <c r="J70" i="83"/>
  <c r="J66" i="83"/>
  <c r="J60" i="83"/>
  <c r="J54" i="83"/>
  <c r="J42" i="83"/>
  <c r="J38" i="83"/>
  <c r="J34" i="83"/>
  <c r="J82" i="83"/>
  <c r="J56" i="83"/>
  <c r="J44" i="83"/>
  <c r="J76" i="83"/>
  <c r="J52" i="83"/>
  <c r="J16" i="83"/>
  <c r="J26" i="83"/>
  <c r="V27" i="83"/>
  <c r="J40" i="83"/>
  <c r="V41" i="83"/>
  <c r="V47" i="83"/>
  <c r="V52" i="83"/>
  <c r="V57" i="83"/>
  <c r="J64" i="83"/>
  <c r="J67" i="83"/>
  <c r="J23" i="84"/>
  <c r="X45" i="84"/>
  <c r="J64" i="84"/>
  <c r="J73" i="84"/>
  <c r="Z25" i="85"/>
  <c r="N47" i="85"/>
  <c r="J49" i="85"/>
  <c r="N53" i="85"/>
  <c r="N23" i="86"/>
  <c r="L23" i="86"/>
  <c r="F21" i="87"/>
  <c r="F20" i="87"/>
  <c r="L12" i="87"/>
  <c r="F22" i="87"/>
  <c r="F17" i="87"/>
  <c r="D17" i="87"/>
  <c r="F23" i="87"/>
  <c r="F25" i="87"/>
  <c r="F19" i="87"/>
  <c r="F15" i="87"/>
  <c r="R16" i="88"/>
  <c r="R38" i="88"/>
  <c r="Z16" i="91"/>
  <c r="T58" i="91"/>
  <c r="R19" i="91"/>
  <c r="V34" i="84"/>
  <c r="V38" i="84"/>
  <c r="V42" i="84"/>
  <c r="V50" i="84"/>
  <c r="V62" i="84"/>
  <c r="V70" i="84"/>
  <c r="J23" i="85"/>
  <c r="J25" i="85"/>
  <c r="J27" i="85"/>
  <c r="J31" i="85"/>
  <c r="J35" i="85"/>
  <c r="J53" i="85"/>
  <c r="J63" i="85"/>
  <c r="J74" i="85"/>
  <c r="J78" i="85"/>
  <c r="J81" i="85"/>
  <c r="J95" i="85"/>
  <c r="X16" i="86"/>
  <c r="J34" i="87"/>
  <c r="J31" i="87"/>
  <c r="J20" i="87"/>
  <c r="J21" i="87"/>
  <c r="J19" i="87"/>
  <c r="J17" i="87"/>
  <c r="J15" i="87"/>
  <c r="J22" i="87"/>
  <c r="H17" i="87"/>
  <c r="J27" i="87"/>
  <c r="J25" i="87"/>
  <c r="J29" i="87"/>
  <c r="P16" i="89"/>
  <c r="J23" i="91"/>
  <c r="J21" i="85"/>
  <c r="J51" i="85"/>
  <c r="J61" i="85"/>
  <c r="J70" i="85"/>
  <c r="L77" i="85"/>
  <c r="N77" i="85" s="1"/>
  <c r="J83" i="85"/>
  <c r="J79" i="86"/>
  <c r="J31" i="86"/>
  <c r="J27" i="86"/>
  <c r="J80" i="86"/>
  <c r="J74" i="86"/>
  <c r="J70" i="86"/>
  <c r="J58" i="86"/>
  <c r="J32" i="86"/>
  <c r="J18" i="86"/>
  <c r="J81" i="86"/>
  <c r="J65" i="86"/>
  <c r="J49" i="86"/>
  <c r="J41" i="86"/>
  <c r="J37" i="86"/>
  <c r="J33" i="86"/>
  <c r="J23" i="86"/>
  <c r="J84" i="86"/>
  <c r="J83" i="86"/>
  <c r="J75" i="86"/>
  <c r="J71" i="86"/>
  <c r="J67" i="86"/>
  <c r="J59" i="86"/>
  <c r="J51" i="86"/>
  <c r="J86" i="86"/>
  <c r="J60" i="86"/>
  <c r="J52" i="86"/>
  <c r="J42" i="86"/>
  <c r="J38" i="86"/>
  <c r="J34" i="86"/>
  <c r="J77" i="86"/>
  <c r="J55" i="86"/>
  <c r="J45" i="86"/>
  <c r="J39" i="86"/>
  <c r="J35" i="86"/>
  <c r="L22" i="86"/>
  <c r="R19" i="87"/>
  <c r="R17" i="87"/>
  <c r="R15" i="87"/>
  <c r="R22" i="87"/>
  <c r="R21" i="87"/>
  <c r="P17" i="87"/>
  <c r="R23" i="87"/>
  <c r="R25" i="87"/>
  <c r="X12" i="87"/>
  <c r="L18" i="89"/>
  <c r="N18" i="89" s="1"/>
  <c r="J65" i="91"/>
  <c r="J62" i="91"/>
  <c r="J43" i="91"/>
  <c r="J27" i="91"/>
  <c r="J52" i="91"/>
  <c r="J47" i="91"/>
  <c r="J39" i="91"/>
  <c r="J42" i="91"/>
  <c r="J21" i="91"/>
  <c r="J54" i="91"/>
  <c r="J48" i="91"/>
  <c r="J28" i="91"/>
  <c r="J25" i="91"/>
  <c r="J38" i="91"/>
  <c r="J35" i="91"/>
  <c r="J60" i="91"/>
  <c r="J32" i="91"/>
  <c r="J22" i="91"/>
  <c r="J49" i="91"/>
  <c r="J46" i="91"/>
  <c r="N12" i="91"/>
  <c r="J53" i="91"/>
  <c r="J19" i="91"/>
  <c r="J58" i="91"/>
  <c r="J24" i="91"/>
  <c r="J20" i="91"/>
  <c r="J18" i="91"/>
  <c r="J16" i="91"/>
  <c r="J14" i="91"/>
  <c r="J44" i="91"/>
  <c r="H16" i="91"/>
  <c r="J34" i="91"/>
  <c r="J56" i="91"/>
  <c r="J50" i="91"/>
  <c r="J30" i="91"/>
  <c r="J26" i="91"/>
  <c r="J51" i="91"/>
  <c r="J37" i="91"/>
  <c r="J33" i="91"/>
  <c r="J36" i="91"/>
  <c r="N26" i="94"/>
  <c r="J20" i="85"/>
  <c r="J48" i="85"/>
  <c r="J58" i="85"/>
  <c r="J68" i="85"/>
  <c r="J80" i="85"/>
  <c r="J93" i="85"/>
  <c r="J17" i="86"/>
  <c r="X22" i="86"/>
  <c r="J25" i="86"/>
  <c r="J36" i="86"/>
  <c r="J53" i="86"/>
  <c r="J93" i="86"/>
  <c r="N46" i="88"/>
  <c r="L46" i="88"/>
  <c r="L14" i="89"/>
  <c r="L23" i="89"/>
  <c r="J40" i="91"/>
  <c r="X48" i="92"/>
  <c r="Z48" i="92" s="1"/>
  <c r="L60" i="92"/>
  <c r="N60" i="92"/>
  <c r="J29" i="85"/>
  <c r="J33" i="85"/>
  <c r="J47" i="85"/>
  <c r="J57" i="85"/>
  <c r="J85" i="85"/>
  <c r="J50" i="86"/>
  <c r="J62" i="86"/>
  <c r="L18" i="91"/>
  <c r="N18" i="91" s="1"/>
  <c r="L66" i="92"/>
  <c r="N66" i="92"/>
  <c r="J66" i="92"/>
  <c r="J94" i="85"/>
  <c r="J86" i="85"/>
  <c r="J76" i="85"/>
  <c r="J97" i="85"/>
  <c r="J90" i="85"/>
  <c r="X13" i="85"/>
  <c r="Z13" i="85" s="1"/>
  <c r="J38" i="85"/>
  <c r="J42" i="85"/>
  <c r="J46" i="85"/>
  <c r="J56" i="85"/>
  <c r="J72" i="85"/>
  <c r="J30" i="86"/>
  <c r="Z45" i="86"/>
  <c r="X45" i="86"/>
  <c r="J47" i="86"/>
  <c r="J72" i="86"/>
  <c r="P51" i="88"/>
  <c r="X51" i="88" s="1"/>
  <c r="Z51" i="88" s="1"/>
  <c r="N30" i="90"/>
  <c r="L30" i="90"/>
  <c r="T98" i="92"/>
  <c r="V26" i="84"/>
  <c r="V30" i="84"/>
  <c r="V54" i="84"/>
  <c r="V66" i="84"/>
  <c r="V74" i="84"/>
  <c r="J19" i="85"/>
  <c r="J55" i="85"/>
  <c r="J67" i="85"/>
  <c r="J79" i="85"/>
  <c r="J82" i="85"/>
  <c r="H20" i="86"/>
  <c r="L47" i="86"/>
  <c r="N47" i="86" s="1"/>
  <c r="J56" i="86"/>
  <c r="Z66" i="86"/>
  <c r="L22" i="93"/>
  <c r="V63" i="84"/>
  <c r="V71" i="84"/>
  <c r="J18" i="85"/>
  <c r="J28" i="85"/>
  <c r="J32" i="85"/>
  <c r="J66" i="85"/>
  <c r="J88" i="85"/>
  <c r="J92" i="85"/>
  <c r="J20" i="86"/>
  <c r="J24" i="86"/>
  <c r="J43" i="86"/>
  <c r="N56" i="86"/>
  <c r="N18" i="88"/>
  <c r="F34" i="90"/>
  <c r="F25" i="90"/>
  <c r="F21" i="90"/>
  <c r="F20" i="90"/>
  <c r="F36" i="90"/>
  <c r="F35" i="90"/>
  <c r="F19" i="90"/>
  <c r="F17" i="90"/>
  <c r="F27" i="90"/>
  <c r="F26" i="90"/>
  <c r="D17" i="90"/>
  <c r="F40" i="90"/>
  <c r="F38" i="90"/>
  <c r="F29" i="90"/>
  <c r="F28" i="90"/>
  <c r="F47" i="90"/>
  <c r="F44" i="90"/>
  <c r="F33" i="90"/>
  <c r="F32" i="90"/>
  <c r="F24" i="90"/>
  <c r="F14" i="90"/>
  <c r="F22" i="90"/>
  <c r="F42" i="90"/>
  <c r="L12" i="90"/>
  <c r="F23" i="90"/>
  <c r="V52" i="84"/>
  <c r="V64" i="84"/>
  <c r="J37" i="85"/>
  <c r="J41" i="85"/>
  <c r="J45" i="85"/>
  <c r="J65" i="85"/>
  <c r="J71" i="85"/>
  <c r="J75" i="85"/>
  <c r="J84" i="85"/>
  <c r="L91" i="85"/>
  <c r="J16" i="86"/>
  <c r="J40" i="86"/>
  <c r="J46" i="86"/>
  <c r="J61" i="86"/>
  <c r="J64" i="86"/>
  <c r="R20" i="87"/>
  <c r="N22" i="87"/>
  <c r="L22" i="87"/>
  <c r="J35" i="90"/>
  <c r="J25" i="90"/>
  <c r="J21" i="90"/>
  <c r="J19" i="90"/>
  <c r="J17" i="90"/>
  <c r="J36" i="90"/>
  <c r="J26" i="90"/>
  <c r="H17" i="90"/>
  <c r="J27" i="90"/>
  <c r="J40" i="90"/>
  <c r="J38" i="90"/>
  <c r="J28" i="90"/>
  <c r="J22" i="90"/>
  <c r="J42" i="90"/>
  <c r="J30" i="90"/>
  <c r="N12" i="90"/>
  <c r="J33" i="90"/>
  <c r="J24" i="90"/>
  <c r="J14" i="90"/>
  <c r="J34" i="90"/>
  <c r="J32" i="90"/>
  <c r="J29" i="90"/>
  <c r="J20" i="90"/>
  <c r="J15" i="90"/>
  <c r="J47" i="90"/>
  <c r="J29" i="91"/>
  <c r="J31" i="91"/>
  <c r="N25" i="92"/>
  <c r="V23" i="86"/>
  <c r="V27" i="86"/>
  <c r="V31" i="86"/>
  <c r="V79" i="86"/>
  <c r="V45" i="88"/>
  <c r="V37" i="88"/>
  <c r="V33" i="88"/>
  <c r="V29" i="88"/>
  <c r="V48" i="88"/>
  <c r="V47" i="88"/>
  <c r="V39" i="88"/>
  <c r="V38" i="88"/>
  <c r="V34" i="88"/>
  <c r="V52" i="88"/>
  <c r="V40" i="88"/>
  <c r="V44" i="88"/>
  <c r="V36" i="88"/>
  <c r="V32" i="88"/>
  <c r="V28" i="88"/>
  <c r="V14" i="88"/>
  <c r="V16" i="88"/>
  <c r="V18" i="88"/>
  <c r="F24" i="88"/>
  <c r="V31" i="88"/>
  <c r="F35" i="88"/>
  <c r="V42" i="88"/>
  <c r="N44" i="88"/>
  <c r="V51" i="88"/>
  <c r="R17" i="90"/>
  <c r="N28" i="90"/>
  <c r="X60" i="92"/>
  <c r="Z60" i="92" s="1"/>
  <c r="P12" i="94"/>
  <c r="X16" i="94"/>
  <c r="V26" i="86"/>
  <c r="V30" i="86"/>
  <c r="V46" i="86"/>
  <c r="V62" i="86"/>
  <c r="V78" i="86"/>
  <c r="D16" i="88"/>
  <c r="F26" i="88"/>
  <c r="V30" i="88"/>
  <c r="F52" i="88"/>
  <c r="V53" i="88"/>
  <c r="F24" i="89"/>
  <c r="F23" i="89"/>
  <c r="F26" i="89"/>
  <c r="F25" i="89"/>
  <c r="F30" i="89"/>
  <c r="F28" i="89"/>
  <c r="F37" i="89"/>
  <c r="F34" i="89"/>
  <c r="F18" i="89"/>
  <c r="F16" i="89"/>
  <c r="F14" i="89"/>
  <c r="F26" i="92"/>
  <c r="F77" i="92"/>
  <c r="F86" i="92"/>
  <c r="V63" i="86"/>
  <c r="R22" i="90"/>
  <c r="R30" i="90"/>
  <c r="R29" i="90"/>
  <c r="R42" i="90"/>
  <c r="X12" i="90"/>
  <c r="R47" i="90"/>
  <c r="R44" i="90"/>
  <c r="R32" i="90"/>
  <c r="R31" i="90"/>
  <c r="R23" i="90"/>
  <c r="R33" i="90"/>
  <c r="R14" i="90"/>
  <c r="R35" i="90"/>
  <c r="R34" i="90"/>
  <c r="R26" i="90"/>
  <c r="R25" i="90"/>
  <c r="R21" i="90"/>
  <c r="P17" i="90"/>
  <c r="L38" i="90"/>
  <c r="X18" i="91"/>
  <c r="Z18" i="91" s="1"/>
  <c r="F20" i="92"/>
  <c r="X84" i="92"/>
  <c r="Z84" i="92"/>
  <c r="H16" i="88"/>
  <c r="F98" i="92"/>
  <c r="F95" i="92"/>
  <c r="F89" i="92"/>
  <c r="F67" i="92"/>
  <c r="F66" i="92"/>
  <c r="F55" i="92"/>
  <c r="F54" i="92"/>
  <c r="F19" i="92"/>
  <c r="F18" i="92"/>
  <c r="F82" i="92"/>
  <c r="F78" i="92"/>
  <c r="F46" i="92"/>
  <c r="F42" i="92"/>
  <c r="F38" i="92"/>
  <c r="F37" i="92"/>
  <c r="F91" i="92"/>
  <c r="F73" i="92"/>
  <c r="F68" i="92"/>
  <c r="F83" i="92"/>
  <c r="F79" i="92"/>
  <c r="F59" i="92"/>
  <c r="F58" i="92"/>
  <c r="F47" i="92"/>
  <c r="F43" i="92"/>
  <c r="F39" i="92"/>
  <c r="F80" i="92"/>
  <c r="F76" i="92"/>
  <c r="F75" i="92"/>
  <c r="F44" i="92"/>
  <c r="F40" i="92"/>
  <c r="F25" i="92"/>
  <c r="F23" i="92"/>
  <c r="F69" i="92"/>
  <c r="F27" i="92"/>
  <c r="F87" i="92"/>
  <c r="F52" i="92"/>
  <c r="F84" i="92"/>
  <c r="F74" i="92"/>
  <c r="F72" i="92"/>
  <c r="F64" i="92"/>
  <c r="F49" i="92"/>
  <c r="F61" i="92"/>
  <c r="F34" i="92"/>
  <c r="D23" i="92"/>
  <c r="F70" i="92"/>
  <c r="F56" i="92"/>
  <c r="F53" i="92"/>
  <c r="F50" i="92"/>
  <c r="F30" i="92"/>
  <c r="F63" i="92"/>
  <c r="F41" i="92"/>
  <c r="F93" i="92"/>
  <c r="F81" i="92"/>
  <c r="F35" i="92"/>
  <c r="L18" i="92"/>
  <c r="H23" i="92"/>
  <c r="N18" i="92"/>
  <c r="J18" i="92"/>
  <c r="F33" i="92"/>
  <c r="F48" i="92"/>
  <c r="J75" i="92"/>
  <c r="V84" i="92"/>
  <c r="L89" i="92"/>
  <c r="N89" i="92"/>
  <c r="T16" i="93"/>
  <c r="Z14" i="93"/>
  <c r="X14" i="93"/>
  <c r="L62" i="94"/>
  <c r="N62" i="94"/>
  <c r="V25" i="86"/>
  <c r="V29" i="86"/>
  <c r="V45" i="86"/>
  <c r="V53" i="86"/>
  <c r="V61" i="86"/>
  <c r="V77" i="86"/>
  <c r="V23" i="87"/>
  <c r="V25" i="87"/>
  <c r="V27" i="87"/>
  <c r="V46" i="88"/>
  <c r="L48" i="88"/>
  <c r="F32" i="89"/>
  <c r="R15" i="90"/>
  <c r="R27" i="90"/>
  <c r="F31" i="92"/>
  <c r="J89" i="92"/>
  <c r="P12" i="95"/>
  <c r="X13" i="95"/>
  <c r="Z13" i="95" s="1"/>
  <c r="V42" i="86"/>
  <c r="V54" i="86"/>
  <c r="F53" i="88"/>
  <c r="F51" i="88"/>
  <c r="F42" i="88"/>
  <c r="F41" i="88"/>
  <c r="F54" i="88"/>
  <c r="F36" i="88"/>
  <c r="F32" i="88"/>
  <c r="F56" i="88"/>
  <c r="F43" i="88"/>
  <c r="F45" i="88"/>
  <c r="F44" i="88"/>
  <c r="F37" i="88"/>
  <c r="F33" i="88"/>
  <c r="F29" i="88"/>
  <c r="F28" i="88"/>
  <c r="F49" i="88"/>
  <c r="F48" i="88"/>
  <c r="F25" i="88"/>
  <c r="V26" i="88"/>
  <c r="F31" i="88"/>
  <c r="V43" i="88"/>
  <c r="F58" i="88"/>
  <c r="R20" i="90"/>
  <c r="R38" i="90"/>
  <c r="X51" i="91"/>
  <c r="Z51" i="91" s="1"/>
  <c r="F65" i="92"/>
  <c r="F85" i="92"/>
  <c r="V43" i="86"/>
  <c r="V51" i="86"/>
  <c r="V59" i="86"/>
  <c r="V67" i="86"/>
  <c r="V71" i="86"/>
  <c r="J54" i="88"/>
  <c r="J56" i="88"/>
  <c r="J36" i="88"/>
  <c r="J32" i="88"/>
  <c r="J43" i="88"/>
  <c r="J27" i="88"/>
  <c r="J23" i="88"/>
  <c r="J58" i="88"/>
  <c r="J44" i="88"/>
  <c r="J63" i="88"/>
  <c r="J60" i="88"/>
  <c r="J46" i="88"/>
  <c r="J24" i="88"/>
  <c r="J20" i="88"/>
  <c r="J40" i="88"/>
  <c r="F22" i="88"/>
  <c r="V23" i="88"/>
  <c r="J25" i="88"/>
  <c r="J28" i="88"/>
  <c r="J31" i="88"/>
  <c r="J39" i="88"/>
  <c r="J42" i="88"/>
  <c r="F63" i="88"/>
  <c r="F20" i="89"/>
  <c r="X19" i="90"/>
  <c r="Z19" i="90" s="1"/>
  <c r="Z18" i="92"/>
  <c r="F29" i="92"/>
  <c r="F71" i="92"/>
  <c r="J22" i="89"/>
  <c r="V26" i="89"/>
  <c r="V28" i="89"/>
  <c r="V30" i="89"/>
  <c r="V28" i="90"/>
  <c r="V36" i="90"/>
  <c r="V38" i="90"/>
  <c r="V40" i="90"/>
  <c r="V25" i="91"/>
  <c r="F27" i="91"/>
  <c r="L44" i="91"/>
  <c r="N44" i="91" s="1"/>
  <c r="V65" i="91"/>
  <c r="N26" i="92"/>
  <c r="V27" i="92"/>
  <c r="V46" i="92"/>
  <c r="R58" i="92"/>
  <c r="Z64" i="92"/>
  <c r="J60" i="94"/>
  <c r="F49" i="91"/>
  <c r="F48" i="91"/>
  <c r="F36" i="91"/>
  <c r="F32" i="91"/>
  <c r="F45" i="91"/>
  <c r="F44" i="91"/>
  <c r="F37" i="91"/>
  <c r="F33" i="91"/>
  <c r="F54" i="91"/>
  <c r="F53" i="91"/>
  <c r="F46" i="91"/>
  <c r="F38" i="91"/>
  <c r="F34" i="91"/>
  <c r="F30" i="91"/>
  <c r="F29" i="91"/>
  <c r="F62" i="91"/>
  <c r="V64" i="92"/>
  <c r="L75" i="92"/>
  <c r="N75" i="92" s="1"/>
  <c r="V22" i="89"/>
  <c r="J32" i="89"/>
  <c r="V20" i="90"/>
  <c r="V24" i="90"/>
  <c r="V20" i="91"/>
  <c r="F26" i="91"/>
  <c r="V27" i="91"/>
  <c r="Z53" i="91"/>
  <c r="R26" i="92"/>
  <c r="X37" i="92"/>
  <c r="Z37" i="92" s="1"/>
  <c r="V41" i="92"/>
  <c r="V43" i="92"/>
  <c r="V48" i="92"/>
  <c r="R54" i="92"/>
  <c r="N62" i="92"/>
  <c r="X66" i="92"/>
  <c r="Z66" i="92" s="1"/>
  <c r="R68" i="92"/>
  <c r="R73" i="92"/>
  <c r="R77" i="92"/>
  <c r="V79" i="92"/>
  <c r="J24" i="93"/>
  <c r="J22" i="93"/>
  <c r="J20" i="93"/>
  <c r="J18" i="93"/>
  <c r="J16" i="93"/>
  <c r="J14" i="93"/>
  <c r="J26" i="93"/>
  <c r="J28" i="93"/>
  <c r="J31" i="93"/>
  <c r="N12" i="93"/>
  <c r="T96" i="94"/>
  <c r="V23" i="94"/>
  <c r="Z58" i="94"/>
  <c r="R45" i="92"/>
  <c r="R57" i="92"/>
  <c r="R65" i="92"/>
  <c r="V68" i="92"/>
  <c r="V77" i="92"/>
  <c r="Z60" i="95"/>
  <c r="X60" i="95"/>
  <c r="J28" i="89"/>
  <c r="J30" i="89"/>
  <c r="R34" i="89"/>
  <c r="R37" i="89"/>
  <c r="V14" i="90"/>
  <c r="V52" i="91"/>
  <c r="V48" i="91"/>
  <c r="V40" i="91"/>
  <c r="V49" i="91"/>
  <c r="V41" i="91"/>
  <c r="V51" i="91"/>
  <c r="V43" i="91"/>
  <c r="V14" i="91"/>
  <c r="V16" i="91"/>
  <c r="V18" i="91"/>
  <c r="V30" i="91"/>
  <c r="V33" i="91"/>
  <c r="F35" i="91"/>
  <c r="F43" i="91"/>
  <c r="R20" i="92"/>
  <c r="R25" i="92"/>
  <c r="V37" i="92"/>
  <c r="V45" i="92"/>
  <c r="V47" i="92"/>
  <c r="Z54" i="92"/>
  <c r="V59" i="92"/>
  <c r="V65" i="92"/>
  <c r="R31" i="93"/>
  <c r="R28" i="93"/>
  <c r="R26" i="93"/>
  <c r="R16" i="93"/>
  <c r="R19" i="93"/>
  <c r="P16" i="93"/>
  <c r="R18" i="93"/>
  <c r="D24" i="93"/>
  <c r="N54" i="95"/>
  <c r="L54" i="95"/>
  <c r="J54" i="95"/>
  <c r="T16" i="89"/>
  <c r="R19" i="89"/>
  <c r="V21" i="89"/>
  <c r="R32" i="89"/>
  <c r="V23" i="90"/>
  <c r="V31" i="90"/>
  <c r="V19" i="91"/>
  <c r="V23" i="91"/>
  <c r="F25" i="91"/>
  <c r="F28" i="91"/>
  <c r="V36" i="91"/>
  <c r="V39" i="91"/>
  <c r="F42" i="91"/>
  <c r="V44" i="91"/>
  <c r="V46" i="91"/>
  <c r="V91" i="92"/>
  <c r="V89" i="92"/>
  <c r="V87" i="92"/>
  <c r="V93" i="92"/>
  <c r="V86" i="92"/>
  <c r="V74" i="92"/>
  <c r="V70" i="92"/>
  <c r="V62" i="92"/>
  <c r="V50" i="92"/>
  <c r="V34" i="92"/>
  <c r="V30" i="92"/>
  <c r="V26" i="92"/>
  <c r="V85" i="92"/>
  <c r="V69" i="92"/>
  <c r="V61" i="92"/>
  <c r="V49" i="92"/>
  <c r="V25" i="92"/>
  <c r="V23" i="92"/>
  <c r="V21" i="92"/>
  <c r="V95" i="92"/>
  <c r="V80" i="92"/>
  <c r="V76" i="92"/>
  <c r="V71" i="92"/>
  <c r="V63" i="92"/>
  <c r="V51" i="92"/>
  <c r="V35" i="92"/>
  <c r="V31" i="92"/>
  <c r="V98" i="92"/>
  <c r="V66" i="92"/>
  <c r="V54" i="92"/>
  <c r="V18" i="92"/>
  <c r="V67" i="92"/>
  <c r="V55" i="92"/>
  <c r="V19" i="92"/>
  <c r="V73" i="92"/>
  <c r="V57" i="92"/>
  <c r="V33" i="92"/>
  <c r="V29" i="92"/>
  <c r="R89" i="92"/>
  <c r="R84" i="92"/>
  <c r="R83" i="92"/>
  <c r="R79" i="92"/>
  <c r="R60" i="92"/>
  <c r="R59" i="92"/>
  <c r="R48" i="92"/>
  <c r="R47" i="92"/>
  <c r="R43" i="92"/>
  <c r="R39" i="92"/>
  <c r="R93" i="92"/>
  <c r="R75" i="92"/>
  <c r="R74" i="92"/>
  <c r="R34" i="92"/>
  <c r="R30" i="92"/>
  <c r="R86" i="92"/>
  <c r="R85" i="92"/>
  <c r="R70" i="92"/>
  <c r="R69" i="92"/>
  <c r="R80" i="92"/>
  <c r="R76" i="92"/>
  <c r="R44" i="92"/>
  <c r="R40" i="92"/>
  <c r="R87" i="92"/>
  <c r="R71" i="92"/>
  <c r="R64" i="92"/>
  <c r="R63" i="92"/>
  <c r="R52" i="92"/>
  <c r="R51" i="92"/>
  <c r="R35" i="92"/>
  <c r="R31" i="92"/>
  <c r="R27" i="92"/>
  <c r="P23" i="92"/>
  <c r="R72" i="92"/>
  <c r="R37" i="92"/>
  <c r="R36" i="92"/>
  <c r="R32" i="92"/>
  <c r="R28" i="92"/>
  <c r="X12" i="92"/>
  <c r="R82" i="92"/>
  <c r="R78" i="92"/>
  <c r="R46" i="92"/>
  <c r="R42" i="92"/>
  <c r="R38" i="92"/>
  <c r="V20" i="92"/>
  <c r="V28" i="92"/>
  <c r="V32" i="92"/>
  <c r="V53" i="92"/>
  <c r="X89" i="92"/>
  <c r="H16" i="93"/>
  <c r="J84" i="94"/>
  <c r="J80" i="94"/>
  <c r="J90" i="94"/>
  <c r="J76" i="94"/>
  <c r="J70" i="94"/>
  <c r="J64" i="94"/>
  <c r="J52" i="94"/>
  <c r="H23" i="94"/>
  <c r="J94" i="94"/>
  <c r="J85" i="94"/>
  <c r="J77" i="94"/>
  <c r="J71" i="94"/>
  <c r="J65" i="94"/>
  <c r="J53" i="94"/>
  <c r="J45" i="94"/>
  <c r="J41" i="94"/>
  <c r="J89" i="94"/>
  <c r="J82" i="94"/>
  <c r="J78" i="94"/>
  <c r="J72" i="94"/>
  <c r="J66" i="94"/>
  <c r="J54" i="94"/>
  <c r="J36" i="94"/>
  <c r="J32" i="94"/>
  <c r="J28" i="94"/>
  <c r="J79" i="94"/>
  <c r="J67" i="94"/>
  <c r="J55" i="94"/>
  <c r="J56" i="94"/>
  <c r="J46" i="94"/>
  <c r="J42" i="94"/>
  <c r="J38" i="94"/>
  <c r="J86" i="94"/>
  <c r="J73" i="94"/>
  <c r="J57" i="94"/>
  <c r="J74" i="94"/>
  <c r="J92" i="94"/>
  <c r="J87" i="94"/>
  <c r="J69" i="94"/>
  <c r="J61" i="94"/>
  <c r="J49" i="94"/>
  <c r="J81" i="94"/>
  <c r="J62" i="94"/>
  <c r="J50" i="94"/>
  <c r="J44" i="94"/>
  <c r="J40" i="94"/>
  <c r="J26" i="94"/>
  <c r="J39" i="94"/>
  <c r="J21" i="94"/>
  <c r="J91" i="94"/>
  <c r="J83" i="94"/>
  <c r="J63" i="94"/>
  <c r="J18" i="94"/>
  <c r="J68" i="94"/>
  <c r="J51" i="94"/>
  <c r="J59" i="94"/>
  <c r="J37" i="94"/>
  <c r="J34" i="94"/>
  <c r="J31" i="94"/>
  <c r="J23" i="94"/>
  <c r="J25" i="94"/>
  <c r="J19" i="94"/>
  <c r="J35" i="94"/>
  <c r="J20" i="94"/>
  <c r="J48" i="94"/>
  <c r="J43" i="94"/>
  <c r="J30" i="94"/>
  <c r="V14" i="89"/>
  <c r="V16" i="89"/>
  <c r="V18" i="89"/>
  <c r="X21" i="89"/>
  <c r="J26" i="89"/>
  <c r="V32" i="89"/>
  <c r="V34" i="89"/>
  <c r="V37" i="89"/>
  <c r="Z12" i="90"/>
  <c r="V32" i="90"/>
  <c r="V42" i="90"/>
  <c r="V44" i="90"/>
  <c r="V47" i="90"/>
  <c r="Z12" i="91"/>
  <c r="F21" i="91"/>
  <c r="V26" i="91"/>
  <c r="F51" i="91"/>
  <c r="F65" i="91"/>
  <c r="Z12" i="92"/>
  <c r="X14" i="92"/>
  <c r="Z14" i="92" s="1"/>
  <c r="Z25" i="92"/>
  <c r="R62" i="92"/>
  <c r="L84" i="92"/>
  <c r="N84" i="92" s="1"/>
  <c r="X12" i="93"/>
  <c r="D16" i="91"/>
  <c r="N48" i="91"/>
  <c r="N51" i="91"/>
  <c r="V56" i="91"/>
  <c r="V60" i="91"/>
  <c r="V36" i="92"/>
  <c r="V40" i="92"/>
  <c r="R50" i="92"/>
  <c r="R56" i="92"/>
  <c r="N58" i="92"/>
  <c r="R67" i="92"/>
  <c r="V82" i="92"/>
  <c r="J19" i="93"/>
  <c r="R20" i="93"/>
  <c r="J27" i="94"/>
  <c r="J75" i="94"/>
  <c r="D12" i="97"/>
  <c r="L13" i="97"/>
  <c r="N13" i="97" s="1"/>
  <c r="J41" i="92"/>
  <c r="J45" i="92"/>
  <c r="J53" i="92"/>
  <c r="J65" i="92"/>
  <c r="J77" i="92"/>
  <c r="J81" i="92"/>
  <c r="L58" i="94"/>
  <c r="N58" i="94" s="1"/>
  <c r="L66" i="95"/>
  <c r="N66" i="95" s="1"/>
  <c r="J23" i="92"/>
  <c r="J25" i="92"/>
  <c r="J27" i="92"/>
  <c r="J31" i="92"/>
  <c r="J35" i="92"/>
  <c r="J51" i="92"/>
  <c r="J63" i="92"/>
  <c r="J71" i="92"/>
  <c r="J87" i="92"/>
  <c r="V31" i="93"/>
  <c r="V28" i="93"/>
  <c r="V26" i="93"/>
  <c r="J30" i="92"/>
  <c r="J34" i="92"/>
  <c r="J48" i="92"/>
  <c r="J60" i="92"/>
  <c r="J74" i="92"/>
  <c r="J84" i="92"/>
  <c r="J93" i="92"/>
  <c r="N52" i="94"/>
  <c r="Z60" i="94"/>
  <c r="N64" i="94"/>
  <c r="Z46" i="97"/>
  <c r="J39" i="92"/>
  <c r="J43" i="92"/>
  <c r="J47" i="92"/>
  <c r="J59" i="92"/>
  <c r="J79" i="92"/>
  <c r="J83" i="92"/>
  <c r="Z50" i="94"/>
  <c r="Z88" i="94"/>
  <c r="X58" i="95"/>
  <c r="Z58" i="95" s="1"/>
  <c r="T86" i="95"/>
  <c r="J29" i="92"/>
  <c r="J33" i="92"/>
  <c r="J57" i="92"/>
  <c r="J73" i="92"/>
  <c r="V18" i="93"/>
  <c r="N18" i="94"/>
  <c r="Z48" i="95"/>
  <c r="X48" i="95"/>
  <c r="J38" i="92"/>
  <c r="J42" i="92"/>
  <c r="J46" i="92"/>
  <c r="J56" i="92"/>
  <c r="J78" i="92"/>
  <c r="J82" i="92"/>
  <c r="F18" i="93"/>
  <c r="F16" i="93"/>
  <c r="F14" i="93"/>
  <c r="F22" i="93"/>
  <c r="D12" i="94"/>
  <c r="Z26" i="94"/>
  <c r="Z52" i="94"/>
  <c r="X64" i="94"/>
  <c r="Z64" i="94" s="1"/>
  <c r="Z76" i="94"/>
  <c r="X76" i="94"/>
  <c r="L14" i="96"/>
  <c r="D16" i="96"/>
  <c r="X46" i="95"/>
  <c r="Z46" i="95" s="1"/>
  <c r="X65" i="97"/>
  <c r="Z65" i="97" s="1"/>
  <c r="V28" i="94"/>
  <c r="V32" i="94"/>
  <c r="V36" i="94"/>
  <c r="V56" i="94"/>
  <c r="V72" i="94"/>
  <c r="V82" i="94"/>
  <c r="V85" i="94"/>
  <c r="V89" i="94"/>
  <c r="L91" i="94"/>
  <c r="N91" i="94" s="1"/>
  <c r="J17" i="95"/>
  <c r="F28" i="95"/>
  <c r="V48" i="95"/>
  <c r="F52" i="95"/>
  <c r="V55" i="95"/>
  <c r="V60" i="95"/>
  <c r="F64" i="95"/>
  <c r="V67" i="95"/>
  <c r="J71" i="95"/>
  <c r="J75" i="95"/>
  <c r="Z78" i="95"/>
  <c r="R26" i="96"/>
  <c r="R20" i="96"/>
  <c r="R18" i="96"/>
  <c r="R16" i="96"/>
  <c r="R14" i="96"/>
  <c r="R21" i="96"/>
  <c r="P16" i="96"/>
  <c r="R22" i="96"/>
  <c r="H16" i="96"/>
  <c r="L20" i="96"/>
  <c r="X17" i="97"/>
  <c r="P73" i="97"/>
  <c r="R17" i="97"/>
  <c r="V65" i="94"/>
  <c r="V77" i="94"/>
  <c r="F25" i="95"/>
  <c r="N52" i="95"/>
  <c r="N64" i="95"/>
  <c r="F82" i="95"/>
  <c r="V21" i="96"/>
  <c r="V26" i="96"/>
  <c r="V22" i="96"/>
  <c r="V28" i="96"/>
  <c r="Z12" i="96"/>
  <c r="T16" i="96"/>
  <c r="Z17" i="97"/>
  <c r="T73" i="97"/>
  <c r="F30" i="95"/>
  <c r="F38" i="95"/>
  <c r="X12" i="96"/>
  <c r="V16" i="96"/>
  <c r="V24" i="96"/>
  <c r="R31" i="96"/>
  <c r="N53" i="97"/>
  <c r="V69" i="94"/>
  <c r="V87" i="94"/>
  <c r="V88" i="94"/>
  <c r="F86" i="95"/>
  <c r="F84" i="95"/>
  <c r="F67" i="95"/>
  <c r="F66" i="95"/>
  <c r="F55" i="95"/>
  <c r="F54" i="95"/>
  <c r="F43" i="95"/>
  <c r="F39" i="95"/>
  <c r="F88" i="95"/>
  <c r="F77" i="95"/>
  <c r="F73" i="95"/>
  <c r="F57" i="95"/>
  <c r="F56" i="95"/>
  <c r="F45" i="95"/>
  <c r="F44" i="95"/>
  <c r="F17" i="95"/>
  <c r="F16" i="95"/>
  <c r="F68" i="95"/>
  <c r="F40" i="95"/>
  <c r="F36" i="95"/>
  <c r="F93" i="95"/>
  <c r="F90" i="95"/>
  <c r="F79" i="95"/>
  <c r="F78" i="95"/>
  <c r="F59" i="95"/>
  <c r="F58" i="95"/>
  <c r="F47" i="95"/>
  <c r="F46" i="95"/>
  <c r="F31" i="95"/>
  <c r="F27" i="95"/>
  <c r="F23" i="95"/>
  <c r="F22" i="95"/>
  <c r="F69" i="95"/>
  <c r="F61" i="95"/>
  <c r="F60" i="95"/>
  <c r="F49" i="95"/>
  <c r="F48" i="95"/>
  <c r="F41" i="95"/>
  <c r="F37" i="95"/>
  <c r="F75" i="95"/>
  <c r="F71" i="95"/>
  <c r="F70" i="95"/>
  <c r="F63" i="95"/>
  <c r="F62" i="95"/>
  <c r="F51" i="95"/>
  <c r="F50" i="95"/>
  <c r="F21" i="95"/>
  <c r="J51" i="95"/>
  <c r="N70" i="95"/>
  <c r="Z31" i="97"/>
  <c r="V50" i="94"/>
  <c r="V62" i="94"/>
  <c r="V74" i="94"/>
  <c r="J88" i="95"/>
  <c r="J56" i="95"/>
  <c r="J44" i="95"/>
  <c r="J77" i="95"/>
  <c r="J73" i="95"/>
  <c r="J57" i="95"/>
  <c r="J45" i="95"/>
  <c r="J78" i="95"/>
  <c r="J68" i="95"/>
  <c r="J58" i="95"/>
  <c r="J46" i="95"/>
  <c r="J40" i="95"/>
  <c r="J36" i="95"/>
  <c r="J22" i="95"/>
  <c r="J79" i="95"/>
  <c r="J59" i="95"/>
  <c r="J47" i="95"/>
  <c r="J31" i="95"/>
  <c r="J27" i="95"/>
  <c r="J23" i="95"/>
  <c r="J21" i="95"/>
  <c r="J74" i="95"/>
  <c r="J60" i="95"/>
  <c r="J48" i="95"/>
  <c r="H19" i="95"/>
  <c r="J19" i="95" s="1"/>
  <c r="J80" i="95"/>
  <c r="J70" i="95"/>
  <c r="J62" i="95"/>
  <c r="J50" i="95"/>
  <c r="J32" i="95"/>
  <c r="J28" i="95"/>
  <c r="J24" i="95"/>
  <c r="J82" i="95"/>
  <c r="J64" i="95"/>
  <c r="J52" i="95"/>
  <c r="J42" i="95"/>
  <c r="J38" i="95"/>
  <c r="J34" i="95"/>
  <c r="F29" i="95"/>
  <c r="F53" i="95"/>
  <c r="F65" i="95"/>
  <c r="F72" i="95"/>
  <c r="F76" i="95"/>
  <c r="J81" i="95"/>
  <c r="D70" i="97"/>
  <c r="L70" i="97" s="1"/>
  <c r="N70" i="97" s="1"/>
  <c r="L71" i="97"/>
  <c r="N71" i="97" s="1"/>
  <c r="V59" i="94"/>
  <c r="V80" i="94"/>
  <c r="V98" i="94"/>
  <c r="L12" i="95"/>
  <c r="D19" i="95"/>
  <c r="J29" i="95"/>
  <c r="J37" i="95"/>
  <c r="J39" i="95"/>
  <c r="J53" i="95"/>
  <c r="Z54" i="95"/>
  <c r="J65" i="95"/>
  <c r="Z66" i="95"/>
  <c r="V68" i="95"/>
  <c r="J72" i="95"/>
  <c r="F74" i="95"/>
  <c r="J76" i="95"/>
  <c r="J84" i="95"/>
  <c r="X22" i="96"/>
  <c r="P20" i="96"/>
  <c r="X20" i="96" s="1"/>
  <c r="V48" i="94"/>
  <c r="V60" i="94"/>
  <c r="V68" i="94"/>
  <c r="V83" i="94"/>
  <c r="V90" i="94"/>
  <c r="V91" i="94"/>
  <c r="N12" i="95"/>
  <c r="Z16" i="95"/>
  <c r="F19" i="95"/>
  <c r="F24" i="95"/>
  <c r="J41" i="95"/>
  <c r="L48" i="95"/>
  <c r="N48" i="95" s="1"/>
  <c r="L60" i="95"/>
  <c r="L84" i="95"/>
  <c r="V14" i="96"/>
  <c r="V57" i="94"/>
  <c r="V73" i="94"/>
  <c r="X91" i="94"/>
  <c r="Z91" i="94" s="1"/>
  <c r="V16" i="95"/>
  <c r="Z22" i="95"/>
  <c r="F26" i="95"/>
  <c r="F34" i="95"/>
  <c r="J43" i="95"/>
  <c r="Z44" i="95"/>
  <c r="J55" i="95"/>
  <c r="N60" i="95"/>
  <c r="J67" i="95"/>
  <c r="F80" i="95"/>
  <c r="X14" i="96"/>
  <c r="V18" i="96"/>
  <c r="V94" i="94"/>
  <c r="V92" i="94"/>
  <c r="V38" i="94"/>
  <c r="V42" i="94"/>
  <c r="V46" i="94"/>
  <c r="V58" i="94"/>
  <c r="V74" i="95"/>
  <c r="V70" i="95"/>
  <c r="V62" i="95"/>
  <c r="V50" i="95"/>
  <c r="V81" i="95"/>
  <c r="V69" i="95"/>
  <c r="V61" i="95"/>
  <c r="V49" i="95"/>
  <c r="V41" i="95"/>
  <c r="V80" i="95"/>
  <c r="V64" i="95"/>
  <c r="V52" i="95"/>
  <c r="V32" i="95"/>
  <c r="V28" i="95"/>
  <c r="V24" i="95"/>
  <c r="V75" i="95"/>
  <c r="V71" i="95"/>
  <c r="V63" i="95"/>
  <c r="V51" i="95"/>
  <c r="V86" i="95"/>
  <c r="V84" i="95"/>
  <c r="V82" i="95"/>
  <c r="V66" i="95"/>
  <c r="V54" i="95"/>
  <c r="V42" i="95"/>
  <c r="V38" i="95"/>
  <c r="V34" i="95"/>
  <c r="V76" i="95"/>
  <c r="V72" i="95"/>
  <c r="V56" i="95"/>
  <c r="V44" i="95"/>
  <c r="V88" i="95"/>
  <c r="V78" i="95"/>
  <c r="V58" i="95"/>
  <c r="V46" i="95"/>
  <c r="V30" i="95"/>
  <c r="V22" i="95"/>
  <c r="J26" i="95"/>
  <c r="V29" i="95"/>
  <c r="V37" i="95"/>
  <c r="V39" i="95"/>
  <c r="N50" i="95"/>
  <c r="V53" i="95"/>
  <c r="N62" i="95"/>
  <c r="V65" i="95"/>
  <c r="J69" i="95"/>
  <c r="H17" i="97"/>
  <c r="Z48" i="97"/>
  <c r="V25" i="97"/>
  <c r="N51" i="97"/>
  <c r="V64" i="97"/>
  <c r="J14" i="96"/>
  <c r="J16" i="96"/>
  <c r="J18" i="96"/>
  <c r="J20" i="96"/>
  <c r="V31" i="97"/>
  <c r="F26" i="96"/>
  <c r="F21" i="96"/>
  <c r="L55" i="97"/>
  <c r="N55" i="97" s="1"/>
  <c r="Z62" i="97"/>
  <c r="F31" i="96"/>
  <c r="V67" i="97"/>
  <c r="V59" i="97"/>
  <c r="V51" i="97"/>
  <c r="V27" i="97"/>
  <c r="V23" i="97"/>
  <c r="V66" i="97"/>
  <c r="V50" i="97"/>
  <c r="V42" i="97"/>
  <c r="V53" i="97"/>
  <c r="V41" i="97"/>
  <c r="V37" i="97"/>
  <c r="V33" i="97"/>
  <c r="V70" i="97"/>
  <c r="V68" i="97"/>
  <c r="V60" i="97"/>
  <c r="V52" i="97"/>
  <c r="V44" i="97"/>
  <c r="V28" i="97"/>
  <c r="V24" i="97"/>
  <c r="V20" i="97"/>
  <c r="V73" i="97"/>
  <c r="V71" i="97"/>
  <c r="V55" i="97"/>
  <c r="V43" i="97"/>
  <c r="V19" i="97"/>
  <c r="V17" i="97"/>
  <c r="V15" i="97"/>
  <c r="V62" i="97"/>
  <c r="V54" i="97"/>
  <c r="V46" i="97"/>
  <c r="V38" i="97"/>
  <c r="V34" i="97"/>
  <c r="V75" i="97"/>
  <c r="V63" i="97"/>
  <c r="V47" i="97"/>
  <c r="V39" i="97"/>
  <c r="V65" i="97"/>
  <c r="V49" i="97"/>
  <c r="X12" i="97"/>
  <c r="Z12" i="97" s="1"/>
  <c r="X15" i="97"/>
  <c r="Z53" i="97"/>
  <c r="V61" i="97"/>
  <c r="X46" i="97"/>
  <c r="L67" i="97"/>
  <c r="N67" i="97" s="1"/>
  <c r="X19" i="97"/>
  <c r="Z19" i="97" s="1"/>
  <c r="V30" i="97"/>
  <c r="Z57" i="97"/>
  <c r="J15" i="97"/>
  <c r="J17" i="97"/>
  <c r="J19" i="97"/>
  <c r="J21" i="97"/>
  <c r="R22" i="97"/>
  <c r="J25" i="97"/>
  <c r="R26" i="97"/>
  <c r="J29" i="97"/>
  <c r="R30" i="97"/>
  <c r="R31" i="97"/>
  <c r="J45" i="97"/>
  <c r="J55" i="97"/>
  <c r="R58" i="97"/>
  <c r="J61" i="97"/>
  <c r="J43" i="97"/>
  <c r="J53" i="97"/>
  <c r="R56" i="97"/>
  <c r="R57" i="97"/>
  <c r="R43" i="97"/>
  <c r="R44" i="97"/>
  <c r="J50" i="97"/>
  <c r="J66" i="97"/>
  <c r="R70" i="97"/>
  <c r="R71" i="97"/>
  <c r="J23" i="97"/>
  <c r="R24" i="97"/>
  <c r="J27" i="97"/>
  <c r="R28" i="97"/>
  <c r="R52" i="97"/>
  <c r="R53" i="97"/>
  <c r="J59" i="97"/>
  <c r="R60" i="97"/>
  <c r="J65" i="97"/>
  <c r="R68" i="97"/>
  <c r="J32" i="97"/>
  <c r="R33" i="97"/>
  <c r="J36" i="97"/>
  <c r="R37" i="97"/>
  <c r="J40" i="97"/>
  <c r="R41" i="97"/>
  <c r="R42" i="97"/>
  <c r="J64" i="97"/>
  <c r="J31" i="97"/>
  <c r="J49" i="97"/>
  <c r="R50" i="97"/>
  <c r="R51" i="97"/>
  <c r="R66" i="97"/>
  <c r="R67" i="97"/>
  <c r="J22" i="97"/>
  <c r="R23" i="97"/>
  <c r="J26" i="97"/>
  <c r="R27" i="97"/>
  <c r="J30" i="97"/>
  <c r="J48" i="97"/>
  <c r="J58" i="97"/>
  <c r="R59" i="97"/>
  <c r="R32" i="97"/>
  <c r="J35" i="97"/>
  <c r="R36" i="97"/>
  <c r="J39" i="97"/>
  <c r="R40" i="97"/>
  <c r="J47" i="97"/>
  <c r="J57" i="97"/>
  <c r="J63" i="97"/>
  <c r="R64" i="97"/>
  <c r="H58" i="91" l="1"/>
  <c r="N16" i="91"/>
  <c r="T79" i="73"/>
  <c r="V22" i="73"/>
  <c r="R111" i="66"/>
  <c r="R110" i="66"/>
  <c r="R79" i="66"/>
  <c r="R78" i="66"/>
  <c r="R74" i="66"/>
  <c r="R70" i="66"/>
  <c r="R97" i="66"/>
  <c r="R89" i="66"/>
  <c r="R65" i="66"/>
  <c r="R61" i="66"/>
  <c r="R112" i="66"/>
  <c r="R104" i="66"/>
  <c r="R81" i="66"/>
  <c r="R80" i="66"/>
  <c r="R57" i="66"/>
  <c r="R52" i="66"/>
  <c r="R48" i="66"/>
  <c r="R44" i="66"/>
  <c r="R40" i="66"/>
  <c r="R115" i="66"/>
  <c r="R114" i="66"/>
  <c r="R75" i="66"/>
  <c r="R71" i="66"/>
  <c r="R56" i="66"/>
  <c r="R117" i="66"/>
  <c r="R106" i="66"/>
  <c r="R105" i="66"/>
  <c r="R49" i="66"/>
  <c r="R45" i="66"/>
  <c r="R41" i="66"/>
  <c r="R37" i="66"/>
  <c r="R50" i="66"/>
  <c r="R46" i="66"/>
  <c r="R42" i="66"/>
  <c r="R38" i="66"/>
  <c r="R109" i="66"/>
  <c r="R108" i="66"/>
  <c r="R64" i="66"/>
  <c r="R60" i="66"/>
  <c r="X12" i="66"/>
  <c r="Z12" i="66" s="1"/>
  <c r="R99" i="66"/>
  <c r="R76" i="66"/>
  <c r="R116" i="66"/>
  <c r="R101" i="66"/>
  <c r="R90" i="66"/>
  <c r="R88" i="66"/>
  <c r="R72" i="66"/>
  <c r="R95" i="66"/>
  <c r="R86" i="66"/>
  <c r="R83" i="66"/>
  <c r="R63" i="66"/>
  <c r="R59" i="66"/>
  <c r="R84" i="66"/>
  <c r="R67" i="66"/>
  <c r="R91" i="66"/>
  <c r="R68" i="66"/>
  <c r="R102" i="66"/>
  <c r="R93" i="66"/>
  <c r="P54" i="66"/>
  <c r="R51" i="66"/>
  <c r="R96" i="66"/>
  <c r="R58" i="66"/>
  <c r="R107" i="66"/>
  <c r="R103" i="66"/>
  <c r="R92" i="66"/>
  <c r="R85" i="66"/>
  <c r="R69" i="66"/>
  <c r="R121" i="66"/>
  <c r="R39" i="66"/>
  <c r="R82" i="66"/>
  <c r="R62" i="66"/>
  <c r="R73" i="66"/>
  <c r="R36" i="66"/>
  <c r="R66" i="66"/>
  <c r="R43" i="66"/>
  <c r="R94" i="66"/>
  <c r="R77" i="66"/>
  <c r="R47" i="66"/>
  <c r="R100" i="66"/>
  <c r="R98" i="66"/>
  <c r="R87" i="66"/>
  <c r="L18" i="46"/>
  <c r="D27" i="46"/>
  <c r="D78" i="82"/>
  <c r="L18" i="82"/>
  <c r="H66" i="65"/>
  <c r="N18" i="65"/>
  <c r="T71" i="59"/>
  <c r="Z16" i="59"/>
  <c r="R107" i="51"/>
  <c r="R89" i="51"/>
  <c r="R62" i="51"/>
  <c r="R61" i="51"/>
  <c r="R57" i="51"/>
  <c r="R53" i="51"/>
  <c r="R81" i="51"/>
  <c r="R80" i="51"/>
  <c r="R44" i="51"/>
  <c r="R40" i="51"/>
  <c r="R36" i="51"/>
  <c r="R96" i="51"/>
  <c r="R95" i="51"/>
  <c r="R71" i="51"/>
  <c r="R67" i="51"/>
  <c r="R63" i="51"/>
  <c r="R32" i="51"/>
  <c r="R91" i="51"/>
  <c r="R90" i="51"/>
  <c r="R82" i="51"/>
  <c r="R58" i="51"/>
  <c r="R54" i="51"/>
  <c r="R98" i="51"/>
  <c r="R97" i="51"/>
  <c r="R45" i="51"/>
  <c r="R41" i="51"/>
  <c r="R37" i="51"/>
  <c r="R33" i="51"/>
  <c r="R92" i="51"/>
  <c r="R73" i="51"/>
  <c r="R72" i="51"/>
  <c r="R68" i="51"/>
  <c r="R64" i="51"/>
  <c r="X12" i="51"/>
  <c r="Z12" i="51" s="1"/>
  <c r="R99" i="51"/>
  <c r="R84" i="51"/>
  <c r="R83" i="51"/>
  <c r="R102" i="51"/>
  <c r="R101" i="51"/>
  <c r="R75" i="51"/>
  <c r="R74" i="51"/>
  <c r="R51" i="51"/>
  <c r="R46" i="51"/>
  <c r="R42" i="51"/>
  <c r="R38" i="51"/>
  <c r="R34" i="51"/>
  <c r="R103" i="51"/>
  <c r="R93" i="51"/>
  <c r="R86" i="51"/>
  <c r="R85" i="51"/>
  <c r="R88" i="51"/>
  <c r="R87" i="51"/>
  <c r="R43" i="51"/>
  <c r="R39" i="51"/>
  <c r="R35" i="51"/>
  <c r="R70" i="51"/>
  <c r="R66" i="51"/>
  <c r="R52" i="51"/>
  <c r="R50" i="51"/>
  <c r="R77" i="51"/>
  <c r="R94" i="51"/>
  <c r="R79" i="51"/>
  <c r="R56" i="51"/>
  <c r="R60" i="51"/>
  <c r="R69" i="51"/>
  <c r="R65" i="51"/>
  <c r="R55" i="51"/>
  <c r="P48" i="51"/>
  <c r="R48" i="51" s="1"/>
  <c r="R78" i="51"/>
  <c r="R59" i="51"/>
  <c r="R76" i="51"/>
  <c r="H73" i="48"/>
  <c r="X18" i="26"/>
  <c r="P27" i="26"/>
  <c r="H91" i="92"/>
  <c r="P56" i="88"/>
  <c r="X16" i="88"/>
  <c r="P84" i="56"/>
  <c r="H234" i="12"/>
  <c r="J124" i="12"/>
  <c r="F104" i="27"/>
  <c r="F103" i="27"/>
  <c r="F96" i="27"/>
  <c r="F95" i="27"/>
  <c r="F88" i="27"/>
  <c r="F87" i="27"/>
  <c r="F52" i="27"/>
  <c r="F48" i="27"/>
  <c r="F44" i="27"/>
  <c r="F40" i="27"/>
  <c r="F111" i="27"/>
  <c r="F110" i="27"/>
  <c r="F79" i="27"/>
  <c r="F75" i="27"/>
  <c r="F71" i="27"/>
  <c r="F98" i="27"/>
  <c r="F97" i="27"/>
  <c r="F90" i="27"/>
  <c r="F89" i="27"/>
  <c r="F66" i="27"/>
  <c r="F62" i="27"/>
  <c r="F113" i="27"/>
  <c r="F112" i="27"/>
  <c r="F105" i="27"/>
  <c r="F81" i="27"/>
  <c r="F80" i="27"/>
  <c r="F53" i="27"/>
  <c r="F49" i="27"/>
  <c r="F45" i="27"/>
  <c r="F41" i="27"/>
  <c r="F76" i="27"/>
  <c r="F72" i="27"/>
  <c r="F116" i="27"/>
  <c r="F99" i="27"/>
  <c r="F91" i="27"/>
  <c r="F83" i="27"/>
  <c r="F82" i="27"/>
  <c r="F67" i="27"/>
  <c r="F63" i="27"/>
  <c r="F59" i="27"/>
  <c r="F58" i="27"/>
  <c r="F117" i="27"/>
  <c r="F115" i="27"/>
  <c r="F106" i="27"/>
  <c r="F57" i="27"/>
  <c r="F55" i="27"/>
  <c r="F50" i="27"/>
  <c r="F46" i="27"/>
  <c r="F42" i="27"/>
  <c r="F38" i="27"/>
  <c r="F37" i="27"/>
  <c r="L12" i="27"/>
  <c r="N12" i="27" s="1"/>
  <c r="F118" i="27"/>
  <c r="F101" i="27"/>
  <c r="F100" i="27"/>
  <c r="F93" i="27"/>
  <c r="F92" i="27"/>
  <c r="F77" i="27"/>
  <c r="F73" i="27"/>
  <c r="D55" i="27"/>
  <c r="F108" i="27"/>
  <c r="F107" i="27"/>
  <c r="F84" i="27"/>
  <c r="F68" i="27"/>
  <c r="F64" i="27"/>
  <c r="F60" i="27"/>
  <c r="F122" i="27"/>
  <c r="F102" i="27"/>
  <c r="F94" i="27"/>
  <c r="F86" i="27"/>
  <c r="F85" i="27"/>
  <c r="F78" i="27"/>
  <c r="F74" i="27"/>
  <c r="F70" i="27"/>
  <c r="F69" i="27"/>
  <c r="F61" i="27"/>
  <c r="F39" i="27"/>
  <c r="F43" i="27"/>
  <c r="F109" i="27"/>
  <c r="F47" i="27"/>
  <c r="F65" i="27"/>
  <c r="F51" i="27"/>
  <c r="P103" i="9"/>
  <c r="X17" i="9"/>
  <c r="T27" i="53"/>
  <c r="Z18" i="53"/>
  <c r="X18" i="52"/>
  <c r="P27" i="52"/>
  <c r="H27" i="40"/>
  <c r="N18" i="40"/>
  <c r="T27" i="31"/>
  <c r="Z18" i="31"/>
  <c r="L18" i="34"/>
  <c r="D27" i="34"/>
  <c r="T27" i="28"/>
  <c r="Z18" i="28"/>
  <c r="H27" i="29"/>
  <c r="N18" i="29"/>
  <c r="H27" i="20"/>
  <c r="N18" i="20"/>
  <c r="N18" i="14"/>
  <c r="H27" i="14"/>
  <c r="T27" i="17"/>
  <c r="Z18" i="17"/>
  <c r="L18" i="8"/>
  <c r="D27" i="8"/>
  <c r="H27" i="16"/>
  <c r="N18" i="16"/>
  <c r="T82" i="70"/>
  <c r="D37" i="55"/>
  <c r="V20" i="78"/>
  <c r="T28" i="78"/>
  <c r="X21" i="76"/>
  <c r="P90" i="76"/>
  <c r="H27" i="13"/>
  <c r="N18" i="13"/>
  <c r="X20" i="78"/>
  <c r="Z20" i="78" s="1"/>
  <c r="P28" i="78"/>
  <c r="H73" i="97"/>
  <c r="P24" i="96"/>
  <c r="X16" i="96"/>
  <c r="T90" i="95"/>
  <c r="T30" i="89"/>
  <c r="Z16" i="89"/>
  <c r="P27" i="87"/>
  <c r="X17" i="87"/>
  <c r="P30" i="89"/>
  <c r="X16" i="89"/>
  <c r="T87" i="81"/>
  <c r="Z16" i="81"/>
  <c r="T32" i="80"/>
  <c r="Z16" i="80"/>
  <c r="P53" i="75"/>
  <c r="V18" i="65"/>
  <c r="T66" i="65"/>
  <c r="F75" i="70"/>
  <c r="F74" i="70"/>
  <c r="F51" i="70"/>
  <c r="F47" i="70"/>
  <c r="F43" i="70"/>
  <c r="F70" i="70"/>
  <c r="F77" i="70"/>
  <c r="F76" i="70"/>
  <c r="F53" i="70"/>
  <c r="F52" i="70"/>
  <c r="F67" i="70"/>
  <c r="F66" i="70"/>
  <c r="F59" i="70"/>
  <c r="F58" i="70"/>
  <c r="F30" i="70"/>
  <c r="F73" i="70"/>
  <c r="F69" i="70"/>
  <c r="F68" i="70"/>
  <c r="F61" i="70"/>
  <c r="F60" i="70"/>
  <c r="F37" i="70"/>
  <c r="F33" i="70"/>
  <c r="F55" i="70"/>
  <c r="F49" i="70"/>
  <c r="F62" i="70"/>
  <c r="F44" i="70"/>
  <c r="F40" i="70"/>
  <c r="F31" i="70"/>
  <c r="F72" i="70"/>
  <c r="F56" i="70"/>
  <c r="F41" i="70"/>
  <c r="F32" i="70"/>
  <c r="F50" i="70"/>
  <c r="F42" i="70"/>
  <c r="F38" i="70"/>
  <c r="F35" i="70"/>
  <c r="F26" i="70"/>
  <c r="F79" i="70"/>
  <c r="F63" i="70"/>
  <c r="F54" i="70"/>
  <c r="F36" i="70"/>
  <c r="D28" i="70"/>
  <c r="F28" i="70" s="1"/>
  <c r="F46" i="70"/>
  <c r="F57" i="70"/>
  <c r="F39" i="70"/>
  <c r="F64" i="70"/>
  <c r="F80" i="70"/>
  <c r="F84" i="70"/>
  <c r="F34" i="70"/>
  <c r="F48" i="70"/>
  <c r="F71" i="70"/>
  <c r="F65" i="70"/>
  <c r="F45" i="70"/>
  <c r="L12" i="70"/>
  <c r="N12" i="70" s="1"/>
  <c r="H80" i="56"/>
  <c r="N17" i="56"/>
  <c r="P60" i="61"/>
  <c r="X16" i="61"/>
  <c r="T101" i="45"/>
  <c r="P270" i="3"/>
  <c r="X152" i="3"/>
  <c r="H27" i="99"/>
  <c r="N18" i="99"/>
  <c r="D27" i="50"/>
  <c r="L18" i="50"/>
  <c r="X18" i="41"/>
  <c r="P27" i="41"/>
  <c r="T27" i="19"/>
  <c r="Z18" i="19"/>
  <c r="N18" i="19"/>
  <c r="H27" i="19"/>
  <c r="T27" i="16"/>
  <c r="Z18" i="16"/>
  <c r="H27" i="7"/>
  <c r="N18" i="7"/>
  <c r="T27" i="10"/>
  <c r="Z18" i="10"/>
  <c r="N18" i="5"/>
  <c r="H27" i="5"/>
  <c r="X23" i="92"/>
  <c r="Z23" i="92" s="1"/>
  <c r="P91" i="92"/>
  <c r="R23" i="92"/>
  <c r="L16" i="81"/>
  <c r="D87" i="81"/>
  <c r="H60" i="61"/>
  <c r="N16" i="61"/>
  <c r="T27" i="40"/>
  <c r="Z18" i="40"/>
  <c r="D27" i="5"/>
  <c r="L18" i="5"/>
  <c r="X16" i="62"/>
  <c r="P100" i="62"/>
  <c r="N16" i="58"/>
  <c r="H76" i="58"/>
  <c r="P22" i="6"/>
  <c r="X16" i="6"/>
  <c r="P27" i="49"/>
  <c r="X18" i="49"/>
  <c r="X18" i="29"/>
  <c r="P27" i="29"/>
  <c r="H27" i="11"/>
  <c r="N18" i="11"/>
  <c r="F56" i="97"/>
  <c r="F55" i="97"/>
  <c r="F19" i="97"/>
  <c r="F15" i="97"/>
  <c r="F75" i="97"/>
  <c r="F63" i="97"/>
  <c r="F62" i="97"/>
  <c r="F47" i="97"/>
  <c r="F46" i="97"/>
  <c r="F39" i="97"/>
  <c r="F35" i="97"/>
  <c r="F58" i="97"/>
  <c r="F57" i="97"/>
  <c r="F30" i="97"/>
  <c r="F26" i="97"/>
  <c r="F22" i="97"/>
  <c r="L12" i="97"/>
  <c r="N12" i="97" s="1"/>
  <c r="F49" i="97"/>
  <c r="F48" i="97"/>
  <c r="F64" i="97"/>
  <c r="F40" i="97"/>
  <c r="F36" i="97"/>
  <c r="F32" i="97"/>
  <c r="F31" i="97"/>
  <c r="F59" i="97"/>
  <c r="F68" i="97"/>
  <c r="F67" i="97"/>
  <c r="F60" i="97"/>
  <c r="F52" i="97"/>
  <c r="F51" i="97"/>
  <c r="F71" i="97"/>
  <c r="F54" i="97"/>
  <c r="F53" i="97"/>
  <c r="F38" i="97"/>
  <c r="F34" i="97"/>
  <c r="F45" i="97"/>
  <c r="F65" i="97"/>
  <c r="F50" i="97"/>
  <c r="F70" i="97"/>
  <c r="F43" i="97"/>
  <c r="F28" i="97"/>
  <c r="F61" i="97"/>
  <c r="F41" i="97"/>
  <c r="F37" i="97"/>
  <c r="F33" i="97"/>
  <c r="F44" i="97"/>
  <c r="F24" i="97"/>
  <c r="F20" i="97"/>
  <c r="D17" i="97"/>
  <c r="F66" i="97"/>
  <c r="F42" i="97"/>
  <c r="F23" i="97"/>
  <c r="F21" i="97"/>
  <c r="F29" i="97"/>
  <c r="F27" i="97"/>
  <c r="F25" i="97"/>
  <c r="F82" i="64"/>
  <c r="F66" i="64"/>
  <c r="F92" i="64"/>
  <c r="F90" i="64"/>
  <c r="F77" i="64"/>
  <c r="F76" i="64"/>
  <c r="F57" i="64"/>
  <c r="F53" i="64"/>
  <c r="F94" i="64"/>
  <c r="F68" i="64"/>
  <c r="F67" i="64"/>
  <c r="F44" i="64"/>
  <c r="F40" i="64"/>
  <c r="F86" i="64"/>
  <c r="F74" i="64"/>
  <c r="F73" i="64"/>
  <c r="F46" i="64"/>
  <c r="F42" i="64"/>
  <c r="F65" i="64"/>
  <c r="F49" i="64"/>
  <c r="F31" i="64"/>
  <c r="F27" i="64"/>
  <c r="F75" i="64"/>
  <c r="F61" i="64"/>
  <c r="F85" i="64"/>
  <c r="F79" i="64"/>
  <c r="F72" i="64"/>
  <c r="F52" i="64"/>
  <c r="F88" i="64"/>
  <c r="F55" i="64"/>
  <c r="F43" i="64"/>
  <c r="F32" i="64"/>
  <c r="F28" i="64"/>
  <c r="F69" i="64"/>
  <c r="F58" i="64"/>
  <c r="F96" i="64"/>
  <c r="F80" i="64"/>
  <c r="F62" i="64"/>
  <c r="F50" i="64"/>
  <c r="F70" i="64"/>
  <c r="F56" i="64"/>
  <c r="F81" i="64"/>
  <c r="F64" i="64"/>
  <c r="F60" i="64"/>
  <c r="F38" i="64"/>
  <c r="F37" i="64"/>
  <c r="D35" i="64"/>
  <c r="F87" i="64"/>
  <c r="F84" i="64"/>
  <c r="F78" i="64"/>
  <c r="F71" i="64"/>
  <c r="F54" i="64"/>
  <c r="F45" i="64"/>
  <c r="F39" i="64"/>
  <c r="F63" i="64"/>
  <c r="F59" i="64"/>
  <c r="F83" i="64"/>
  <c r="F48" i="64"/>
  <c r="F99" i="64"/>
  <c r="F33" i="64"/>
  <c r="L12" i="64"/>
  <c r="N12" i="64" s="1"/>
  <c r="F29" i="64"/>
  <c r="F25" i="64"/>
  <c r="F41" i="64"/>
  <c r="F51" i="64"/>
  <c r="F26" i="64"/>
  <c r="F30" i="64"/>
  <c r="F35" i="64"/>
  <c r="F47" i="64"/>
  <c r="T119" i="66"/>
  <c r="T100" i="94"/>
  <c r="D79" i="84"/>
  <c r="L21" i="84"/>
  <c r="T27" i="87"/>
  <c r="Z17" i="87"/>
  <c r="F17" i="78"/>
  <c r="F16" i="78"/>
  <c r="F22" i="78"/>
  <c r="F20" i="78"/>
  <c r="F26" i="78"/>
  <c r="F18" i="78"/>
  <c r="F30" i="78"/>
  <c r="F23" i="78"/>
  <c r="L12" i="78"/>
  <c r="N12" i="78" s="1"/>
  <c r="D20" i="78"/>
  <c r="F24" i="78"/>
  <c r="N16" i="81"/>
  <c r="H87" i="81"/>
  <c r="H53" i="75"/>
  <c r="Z19" i="74"/>
  <c r="T70" i="74"/>
  <c r="R20" i="78"/>
  <c r="T62" i="60"/>
  <c r="T80" i="56"/>
  <c r="Z17" i="56"/>
  <c r="P73" i="48"/>
  <c r="X17" i="48"/>
  <c r="R17" i="48"/>
  <c r="F79" i="33"/>
  <c r="F78" i="33"/>
  <c r="F55" i="33"/>
  <c r="F54" i="33"/>
  <c r="F27" i="33"/>
  <c r="F26" i="33"/>
  <c r="F66" i="33"/>
  <c r="F65" i="33"/>
  <c r="F50" i="33"/>
  <c r="F46" i="33"/>
  <c r="F82" i="33"/>
  <c r="F73" i="33"/>
  <c r="F57" i="33"/>
  <c r="F56" i="33"/>
  <c r="F41" i="33"/>
  <c r="F37" i="33"/>
  <c r="F67" i="33"/>
  <c r="F59" i="33"/>
  <c r="F58" i="33"/>
  <c r="F51" i="33"/>
  <c r="F47" i="33"/>
  <c r="F74" i="33"/>
  <c r="F42" i="33"/>
  <c r="F38" i="33"/>
  <c r="F34" i="33"/>
  <c r="F33" i="33"/>
  <c r="F87" i="33"/>
  <c r="F69" i="33"/>
  <c r="F68" i="33"/>
  <c r="F61" i="33"/>
  <c r="F60" i="33"/>
  <c r="F32" i="33"/>
  <c r="F52" i="33"/>
  <c r="F48" i="33"/>
  <c r="F44" i="33"/>
  <c r="F43" i="33"/>
  <c r="D30" i="33"/>
  <c r="F30" i="33" s="1"/>
  <c r="L12" i="33"/>
  <c r="N12" i="33" s="1"/>
  <c r="F75" i="33"/>
  <c r="F71" i="33"/>
  <c r="F70" i="33"/>
  <c r="F63" i="33"/>
  <c r="F62" i="33"/>
  <c r="F39" i="33"/>
  <c r="F35" i="33"/>
  <c r="F77" i="33"/>
  <c r="F76" i="33"/>
  <c r="F53" i="33"/>
  <c r="F49" i="33"/>
  <c r="F45" i="33"/>
  <c r="F36" i="33"/>
  <c r="F72" i="33"/>
  <c r="F40" i="33"/>
  <c r="F83" i="33"/>
  <c r="F81" i="33"/>
  <c r="F64" i="33"/>
  <c r="F28" i="33"/>
  <c r="H109" i="21"/>
  <c r="L27" i="36"/>
  <c r="D127" i="36"/>
  <c r="F27" i="36"/>
  <c r="R253" i="18"/>
  <c r="R233" i="18"/>
  <c r="R217" i="18"/>
  <c r="R153" i="18"/>
  <c r="R149" i="18"/>
  <c r="R241" i="18"/>
  <c r="R240" i="18"/>
  <c r="R228" i="18"/>
  <c r="R224" i="18"/>
  <c r="R212" i="18"/>
  <c r="R192" i="18"/>
  <c r="R176" i="18"/>
  <c r="R140" i="18"/>
  <c r="R136" i="18"/>
  <c r="R132" i="18"/>
  <c r="R128" i="18"/>
  <c r="R124" i="18"/>
  <c r="R120" i="18"/>
  <c r="R116" i="18"/>
  <c r="R112" i="18"/>
  <c r="R108" i="18"/>
  <c r="R104" i="18"/>
  <c r="R100" i="18"/>
  <c r="R96" i="18"/>
  <c r="R207" i="18"/>
  <c r="R200" i="18"/>
  <c r="R199" i="18"/>
  <c r="R184" i="18"/>
  <c r="R183" i="18"/>
  <c r="R168" i="18"/>
  <c r="R167" i="18"/>
  <c r="R163" i="18"/>
  <c r="R159" i="18"/>
  <c r="R242" i="18"/>
  <c r="R235" i="18"/>
  <c r="R234" i="18"/>
  <c r="R219" i="18"/>
  <c r="R218" i="18"/>
  <c r="R154" i="18"/>
  <c r="R150" i="18"/>
  <c r="X12" i="18"/>
  <c r="Z12" i="18" s="1"/>
  <c r="R245" i="18"/>
  <c r="R244" i="18"/>
  <c r="R229" i="18"/>
  <c r="R225" i="18"/>
  <c r="R214" i="18"/>
  <c r="R213" i="18"/>
  <c r="R202" i="18"/>
  <c r="R201" i="18"/>
  <c r="R193" i="18"/>
  <c r="R186" i="18"/>
  <c r="R185" i="18"/>
  <c r="R178" i="18"/>
  <c r="R177" i="18"/>
  <c r="R170" i="18"/>
  <c r="R169" i="18"/>
  <c r="R146" i="18"/>
  <c r="R141" i="18"/>
  <c r="R137" i="18"/>
  <c r="R133" i="18"/>
  <c r="R129" i="18"/>
  <c r="R125" i="18"/>
  <c r="R121" i="18"/>
  <c r="R117" i="18"/>
  <c r="R113" i="18"/>
  <c r="R109" i="18"/>
  <c r="R105" i="18"/>
  <c r="R101" i="18"/>
  <c r="R97" i="18"/>
  <c r="R246" i="18"/>
  <c r="R237" i="18"/>
  <c r="R236" i="18"/>
  <c r="R220" i="18"/>
  <c r="R209" i="18"/>
  <c r="R208" i="18"/>
  <c r="R164" i="18"/>
  <c r="R160" i="18"/>
  <c r="R145" i="18"/>
  <c r="R143" i="18"/>
  <c r="R93" i="18"/>
  <c r="R247" i="18"/>
  <c r="R215" i="18"/>
  <c r="R204" i="18"/>
  <c r="R203" i="18"/>
  <c r="R188" i="18"/>
  <c r="R187" i="18"/>
  <c r="R179" i="18"/>
  <c r="R171" i="18"/>
  <c r="R155" i="18"/>
  <c r="R151" i="18"/>
  <c r="R147" i="18"/>
  <c r="P143" i="18"/>
  <c r="R248" i="18"/>
  <c r="R238" i="18"/>
  <c r="R230" i="18"/>
  <c r="R226" i="18"/>
  <c r="R210" i="18"/>
  <c r="R195" i="18"/>
  <c r="R194" i="18"/>
  <c r="R138" i="18"/>
  <c r="R134" i="18"/>
  <c r="R130" i="18"/>
  <c r="R126" i="18"/>
  <c r="R122" i="18"/>
  <c r="R118" i="18"/>
  <c r="R114" i="18"/>
  <c r="R110" i="18"/>
  <c r="R106" i="18"/>
  <c r="R102" i="18"/>
  <c r="R98" i="18"/>
  <c r="R94" i="18"/>
  <c r="R239" i="18"/>
  <c r="R232" i="18"/>
  <c r="R231" i="18"/>
  <c r="R227" i="18"/>
  <c r="R223" i="18"/>
  <c r="R211" i="18"/>
  <c r="R139" i="18"/>
  <c r="R135" i="18"/>
  <c r="R131" i="18"/>
  <c r="R127" i="18"/>
  <c r="R123" i="18"/>
  <c r="R119" i="18"/>
  <c r="R115" i="18"/>
  <c r="R111" i="18"/>
  <c r="R107" i="18"/>
  <c r="R103" i="18"/>
  <c r="R99" i="18"/>
  <c r="R95" i="18"/>
  <c r="R166" i="18"/>
  <c r="R148" i="18"/>
  <c r="R205" i="18"/>
  <c r="R197" i="18"/>
  <c r="R189" i="18"/>
  <c r="R157" i="18"/>
  <c r="R249" i="18"/>
  <c r="R222" i="18"/>
  <c r="R191" i="18"/>
  <c r="R161" i="18"/>
  <c r="R216" i="18"/>
  <c r="R174" i="18"/>
  <c r="R172" i="18"/>
  <c r="R165" i="18"/>
  <c r="R152" i="18"/>
  <c r="R182" i="18"/>
  <c r="R221" i="18"/>
  <c r="R175" i="18"/>
  <c r="R181" i="18"/>
  <c r="R162" i="18"/>
  <c r="R156" i="18"/>
  <c r="R198" i="18"/>
  <c r="R158" i="18"/>
  <c r="R206" i="18"/>
  <c r="R173" i="18"/>
  <c r="R190" i="18"/>
  <c r="R196" i="18"/>
  <c r="R180" i="18"/>
  <c r="L16" i="6"/>
  <c r="D22" i="6"/>
  <c r="T270" i="3"/>
  <c r="Z152" i="3"/>
  <c r="T27" i="52"/>
  <c r="Z18" i="52"/>
  <c r="L18" i="52"/>
  <c r="D27" i="52"/>
  <c r="X18" i="44"/>
  <c r="P27" i="44"/>
  <c r="L18" i="44"/>
  <c r="D27" i="44"/>
  <c r="X18" i="32"/>
  <c r="P27" i="32"/>
  <c r="X18" i="31"/>
  <c r="P27" i="31"/>
  <c r="L18" i="31"/>
  <c r="D27" i="31"/>
  <c r="N18" i="31"/>
  <c r="H27" i="31"/>
  <c r="X18" i="22"/>
  <c r="P27" i="22"/>
  <c r="P27" i="23"/>
  <c r="X18" i="23"/>
  <c r="D27" i="19"/>
  <c r="L18" i="19"/>
  <c r="X18" i="16"/>
  <c r="P27" i="16"/>
  <c r="D27" i="7"/>
  <c r="L18" i="7"/>
  <c r="H27" i="17"/>
  <c r="N18" i="17"/>
  <c r="L18" i="4"/>
  <c r="D27" i="4"/>
  <c r="N16" i="6"/>
  <c r="H22" i="6"/>
  <c r="H27" i="37"/>
  <c r="N18" i="37"/>
  <c r="T105" i="71"/>
  <c r="T74" i="57"/>
  <c r="Z17" i="57"/>
  <c r="D80" i="58"/>
  <c r="X23" i="45"/>
  <c r="Z23" i="45" s="1"/>
  <c r="P101" i="45"/>
  <c r="T24" i="93"/>
  <c r="Z16" i="93"/>
  <c r="T93" i="86"/>
  <c r="X78" i="82"/>
  <c r="P82" i="82"/>
  <c r="F81" i="76"/>
  <c r="F80" i="76"/>
  <c r="F97" i="76"/>
  <c r="F94" i="76"/>
  <c r="F43" i="76"/>
  <c r="F39" i="76"/>
  <c r="F35" i="76"/>
  <c r="D21" i="76"/>
  <c r="F73" i="76"/>
  <c r="F72" i="76"/>
  <c r="F49" i="76"/>
  <c r="F48" i="76"/>
  <c r="F41" i="76"/>
  <c r="F37" i="76"/>
  <c r="F70" i="76"/>
  <c r="F66" i="76"/>
  <c r="F61" i="76"/>
  <c r="F55" i="76"/>
  <c r="F50" i="76"/>
  <c r="F45" i="76"/>
  <c r="F28" i="76"/>
  <c r="F83" i="76"/>
  <c r="F38" i="76"/>
  <c r="F31" i="76"/>
  <c r="F18" i="76"/>
  <c r="F90" i="76"/>
  <c r="F77" i="76"/>
  <c r="F62" i="76"/>
  <c r="F56" i="76"/>
  <c r="F51" i="76"/>
  <c r="F46" i="76"/>
  <c r="F84" i="76"/>
  <c r="F74" i="76"/>
  <c r="F26" i="76"/>
  <c r="F67" i="76"/>
  <c r="F47" i="76"/>
  <c r="F42" i="76"/>
  <c r="F64" i="76"/>
  <c r="F63" i="76"/>
  <c r="F58" i="76"/>
  <c r="F57" i="76"/>
  <c r="F52" i="76"/>
  <c r="F32" i="76"/>
  <c r="F29" i="76"/>
  <c r="F19" i="76"/>
  <c r="L12" i="76"/>
  <c r="N12" i="76" s="1"/>
  <c r="F69" i="76"/>
  <c r="F60" i="76"/>
  <c r="F59" i="76"/>
  <c r="F54" i="76"/>
  <c r="F53" i="76"/>
  <c r="F27" i="76"/>
  <c r="F82" i="76"/>
  <c r="F76" i="76"/>
  <c r="F65" i="76"/>
  <c r="F40" i="76"/>
  <c r="F33" i="76"/>
  <c r="F30" i="76"/>
  <c r="F24" i="76"/>
  <c r="F21" i="76"/>
  <c r="F16" i="76"/>
  <c r="F78" i="76"/>
  <c r="F88" i="76"/>
  <c r="F85" i="76"/>
  <c r="F36" i="76"/>
  <c r="F17" i="76"/>
  <c r="F44" i="76"/>
  <c r="F79" i="76"/>
  <c r="F86" i="76"/>
  <c r="F71" i="76"/>
  <c r="F92" i="76"/>
  <c r="F25" i="76"/>
  <c r="F75" i="76"/>
  <c r="F23" i="76"/>
  <c r="F68" i="76"/>
  <c r="F34" i="76"/>
  <c r="H32" i="78"/>
  <c r="R79" i="64"/>
  <c r="R78" i="64"/>
  <c r="R71" i="64"/>
  <c r="R70" i="64"/>
  <c r="R54" i="64"/>
  <c r="R50" i="64"/>
  <c r="R85" i="64"/>
  <c r="R62" i="64"/>
  <c r="R61" i="64"/>
  <c r="R80" i="64"/>
  <c r="R73" i="64"/>
  <c r="R72" i="64"/>
  <c r="R82" i="64"/>
  <c r="R67" i="64"/>
  <c r="R66" i="64"/>
  <c r="R58" i="64"/>
  <c r="R46" i="64"/>
  <c r="R43" i="64"/>
  <c r="R40" i="64"/>
  <c r="R90" i="64"/>
  <c r="R69" i="64"/>
  <c r="R47" i="64"/>
  <c r="R63" i="64"/>
  <c r="R33" i="64"/>
  <c r="R29" i="64"/>
  <c r="R77" i="64"/>
  <c r="R59" i="64"/>
  <c r="R53" i="64"/>
  <c r="R25" i="64"/>
  <c r="R83" i="64"/>
  <c r="R64" i="64"/>
  <c r="R56" i="64"/>
  <c r="R44" i="64"/>
  <c r="R41" i="64"/>
  <c r="R38" i="64"/>
  <c r="R37" i="64"/>
  <c r="P35" i="64"/>
  <c r="R86" i="64"/>
  <c r="R51" i="64"/>
  <c r="R48" i="64"/>
  <c r="R30" i="64"/>
  <c r="R26" i="64"/>
  <c r="X12" i="64"/>
  <c r="Z12" i="64" s="1"/>
  <c r="R45" i="64"/>
  <c r="R42" i="64"/>
  <c r="R39" i="64"/>
  <c r="R31" i="64"/>
  <c r="R27" i="64"/>
  <c r="R94" i="64"/>
  <c r="R75" i="64"/>
  <c r="R68" i="64"/>
  <c r="R52" i="64"/>
  <c r="R88" i="64"/>
  <c r="R76" i="64"/>
  <c r="R55" i="64"/>
  <c r="R32" i="64"/>
  <c r="R28" i="64"/>
  <c r="R87" i="64"/>
  <c r="R84" i="64"/>
  <c r="R60" i="64"/>
  <c r="R74" i="64"/>
  <c r="R49" i="64"/>
  <c r="R81" i="64"/>
  <c r="R65" i="64"/>
  <c r="R57" i="64"/>
  <c r="X16" i="55"/>
  <c r="P33" i="55"/>
  <c r="T76" i="58"/>
  <c r="Z16" i="58"/>
  <c r="J17" i="48"/>
  <c r="H120" i="27"/>
  <c r="F248" i="18"/>
  <c r="F221" i="18"/>
  <c r="F205" i="18"/>
  <c r="F204" i="18"/>
  <c r="F189" i="18"/>
  <c r="F188" i="18"/>
  <c r="F165" i="18"/>
  <c r="F161" i="18"/>
  <c r="D143" i="18"/>
  <c r="F249" i="18"/>
  <c r="F216" i="18"/>
  <c r="F196" i="18"/>
  <c r="F195" i="18"/>
  <c r="F180" i="18"/>
  <c r="F172" i="18"/>
  <c r="F156" i="18"/>
  <c r="F152" i="18"/>
  <c r="F148" i="18"/>
  <c r="F239" i="18"/>
  <c r="F231" i="18"/>
  <c r="F227" i="18"/>
  <c r="F223" i="18"/>
  <c r="F222" i="18"/>
  <c r="F211" i="18"/>
  <c r="F139" i="18"/>
  <c r="F135" i="18"/>
  <c r="F131" i="18"/>
  <c r="F127" i="18"/>
  <c r="F123" i="18"/>
  <c r="F119" i="18"/>
  <c r="F115" i="18"/>
  <c r="F111" i="18"/>
  <c r="F107" i="18"/>
  <c r="F103" i="18"/>
  <c r="F99" i="18"/>
  <c r="F95" i="18"/>
  <c r="F206" i="18"/>
  <c r="F198" i="18"/>
  <c r="F197" i="18"/>
  <c r="F190" i="18"/>
  <c r="F182" i="18"/>
  <c r="F181" i="18"/>
  <c r="F174" i="18"/>
  <c r="F173" i="18"/>
  <c r="F166" i="18"/>
  <c r="F162" i="18"/>
  <c r="F158" i="18"/>
  <c r="F157" i="18"/>
  <c r="F253" i="18"/>
  <c r="F233" i="18"/>
  <c r="F232" i="18"/>
  <c r="F217" i="18"/>
  <c r="F153" i="18"/>
  <c r="F149" i="18"/>
  <c r="F240" i="18"/>
  <c r="F228" i="18"/>
  <c r="F224" i="18"/>
  <c r="F212" i="18"/>
  <c r="F192" i="18"/>
  <c r="F191" i="18"/>
  <c r="F176" i="18"/>
  <c r="F175" i="18"/>
  <c r="F140" i="18"/>
  <c r="F136" i="18"/>
  <c r="F132" i="18"/>
  <c r="F128" i="18"/>
  <c r="F124" i="18"/>
  <c r="F120" i="18"/>
  <c r="F116" i="18"/>
  <c r="F112" i="18"/>
  <c r="F108" i="18"/>
  <c r="F104" i="18"/>
  <c r="F100" i="18"/>
  <c r="F96" i="18"/>
  <c r="F207" i="18"/>
  <c r="F199" i="18"/>
  <c r="F183" i="18"/>
  <c r="F167" i="18"/>
  <c r="F163" i="18"/>
  <c r="F159" i="18"/>
  <c r="F242" i="18"/>
  <c r="F241" i="18"/>
  <c r="F234" i="18"/>
  <c r="F218" i="18"/>
  <c r="F154" i="18"/>
  <c r="F150" i="18"/>
  <c r="L12" i="18"/>
  <c r="N12" i="18" s="1"/>
  <c r="F246" i="18"/>
  <c r="F244" i="18"/>
  <c r="F215" i="18"/>
  <c r="F214" i="18"/>
  <c r="F203" i="18"/>
  <c r="F202" i="18"/>
  <c r="F187" i="18"/>
  <c r="F186" i="18"/>
  <c r="F179" i="18"/>
  <c r="F178" i="18"/>
  <c r="F171" i="18"/>
  <c r="F170" i="18"/>
  <c r="F155" i="18"/>
  <c r="F151" i="18"/>
  <c r="F147" i="18"/>
  <c r="F146" i="18"/>
  <c r="F219" i="18"/>
  <c r="F208" i="18"/>
  <c r="F177" i="18"/>
  <c r="F129" i="18"/>
  <c r="F106" i="18"/>
  <c r="F160" i="18"/>
  <c r="F133" i="18"/>
  <c r="F110" i="18"/>
  <c r="F238" i="18"/>
  <c r="F230" i="18"/>
  <c r="F168" i="18"/>
  <c r="F164" i="18"/>
  <c r="F137" i="18"/>
  <c r="F114" i="18"/>
  <c r="F225" i="18"/>
  <c r="F185" i="18"/>
  <c r="F141" i="18"/>
  <c r="F118" i="18"/>
  <c r="F236" i="18"/>
  <c r="F201" i="18"/>
  <c r="F122" i="18"/>
  <c r="F97" i="18"/>
  <c r="F93" i="18"/>
  <c r="F193" i="18"/>
  <c r="F126" i="18"/>
  <c r="F101" i="18"/>
  <c r="F247" i="18"/>
  <c r="F220" i="18"/>
  <c r="F209" i="18"/>
  <c r="F145" i="18"/>
  <c r="F130" i="18"/>
  <c r="F105" i="18"/>
  <c r="F229" i="18"/>
  <c r="F134" i="18"/>
  <c r="F109" i="18"/>
  <c r="F235" i="18"/>
  <c r="F226" i="18"/>
  <c r="F121" i="18"/>
  <c r="F98" i="18"/>
  <c r="F210" i="18"/>
  <c r="F200" i="18"/>
  <c r="F194" i="18"/>
  <c r="F125" i="18"/>
  <c r="F102" i="18"/>
  <c r="F117" i="18"/>
  <c r="F237" i="18"/>
  <c r="F245" i="18"/>
  <c r="F138" i="18"/>
  <c r="F213" i="18"/>
  <c r="F113" i="18"/>
  <c r="F94" i="18"/>
  <c r="F184" i="18"/>
  <c r="F169" i="18"/>
  <c r="L18" i="99"/>
  <c r="D27" i="99"/>
  <c r="H27" i="98"/>
  <c r="N18" i="98"/>
  <c r="T27" i="100"/>
  <c r="Z18" i="100"/>
  <c r="L18" i="100"/>
  <c r="D27" i="100"/>
  <c r="H27" i="100"/>
  <c r="N18" i="100"/>
  <c r="H27" i="52"/>
  <c r="N18" i="52"/>
  <c r="T27" i="46"/>
  <c r="Z18" i="46"/>
  <c r="P27" i="50"/>
  <c r="X18" i="50"/>
  <c r="T27" i="44"/>
  <c r="Z18" i="44"/>
  <c r="H27" i="43"/>
  <c r="N18" i="43"/>
  <c r="T27" i="50"/>
  <c r="Z18" i="50"/>
  <c r="T27" i="35"/>
  <c r="Z18" i="35"/>
  <c r="T27" i="23"/>
  <c r="Z18" i="23"/>
  <c r="T27" i="14"/>
  <c r="Z18" i="14"/>
  <c r="T27" i="8"/>
  <c r="Z18" i="8"/>
  <c r="P27" i="5"/>
  <c r="X18" i="5"/>
  <c r="F96" i="9"/>
  <c r="F88" i="9"/>
  <c r="F84" i="9"/>
  <c r="F83" i="9"/>
  <c r="F76" i="9"/>
  <c r="F56" i="9"/>
  <c r="F55" i="9"/>
  <c r="F48" i="9"/>
  <c r="F47" i="9"/>
  <c r="F40" i="9"/>
  <c r="F36" i="9"/>
  <c r="F71" i="9"/>
  <c r="F31" i="9"/>
  <c r="F27" i="9"/>
  <c r="F23" i="9"/>
  <c r="F99" i="9"/>
  <c r="F90" i="9"/>
  <c r="F89" i="9"/>
  <c r="F78" i="9"/>
  <c r="F77" i="9"/>
  <c r="F66" i="9"/>
  <c r="F58" i="9"/>
  <c r="F57" i="9"/>
  <c r="F50" i="9"/>
  <c r="F49" i="9"/>
  <c r="F100" i="9"/>
  <c r="F98" i="9"/>
  <c r="F85" i="9"/>
  <c r="F73" i="9"/>
  <c r="F72" i="9"/>
  <c r="F41" i="9"/>
  <c r="F37" i="9"/>
  <c r="F33" i="9"/>
  <c r="F32" i="9"/>
  <c r="F101" i="9"/>
  <c r="F68" i="9"/>
  <c r="F67" i="9"/>
  <c r="F60" i="9"/>
  <c r="F59" i="9"/>
  <c r="F28" i="9"/>
  <c r="F24" i="9"/>
  <c r="F91" i="9"/>
  <c r="F79" i="9"/>
  <c r="F51" i="9"/>
  <c r="F103" i="9"/>
  <c r="F86" i="9"/>
  <c r="F74" i="9"/>
  <c r="F42" i="9"/>
  <c r="F38" i="9"/>
  <c r="F34" i="9"/>
  <c r="F105" i="9"/>
  <c r="F93" i="9"/>
  <c r="F92" i="9"/>
  <c r="F81" i="9"/>
  <c r="F80" i="9"/>
  <c r="F69" i="9"/>
  <c r="F61" i="9"/>
  <c r="F53" i="9"/>
  <c r="F52" i="9"/>
  <c r="F29" i="9"/>
  <c r="F25" i="9"/>
  <c r="F21" i="9"/>
  <c r="F20" i="9"/>
  <c r="F110" i="9"/>
  <c r="F107" i="9"/>
  <c r="F82" i="9"/>
  <c r="F70" i="9"/>
  <c r="F54" i="9"/>
  <c r="F46" i="9"/>
  <c r="F45" i="9"/>
  <c r="F30" i="9"/>
  <c r="F26" i="9"/>
  <c r="F22" i="9"/>
  <c r="L12" i="9"/>
  <c r="F65" i="9"/>
  <c r="F64" i="9"/>
  <c r="F63" i="9"/>
  <c r="F17" i="9"/>
  <c r="F87" i="9"/>
  <c r="D17" i="9"/>
  <c r="F19" i="9"/>
  <c r="F44" i="9"/>
  <c r="F95" i="9"/>
  <c r="F62" i="9"/>
  <c r="F35" i="9"/>
  <c r="F15" i="9"/>
  <c r="F75" i="9"/>
  <c r="F39" i="9"/>
  <c r="F94" i="9"/>
  <c r="F43" i="9"/>
  <c r="V28" i="70"/>
  <c r="L91" i="79"/>
  <c r="N91" i="79" s="1"/>
  <c r="D95" i="79"/>
  <c r="L17" i="56"/>
  <c r="D80" i="56"/>
  <c r="T120" i="27"/>
  <c r="X18" i="98"/>
  <c r="P27" i="98"/>
  <c r="H270" i="3"/>
  <c r="T77" i="97"/>
  <c r="L16" i="91"/>
  <c r="D58" i="91"/>
  <c r="P40" i="90"/>
  <c r="X17" i="90"/>
  <c r="N20" i="86"/>
  <c r="H86" i="86"/>
  <c r="R95" i="85"/>
  <c r="R87" i="85"/>
  <c r="R91" i="85"/>
  <c r="R90" i="85"/>
  <c r="R89" i="85"/>
  <c r="R82" i="85"/>
  <c r="R76" i="85"/>
  <c r="R72" i="85"/>
  <c r="R47" i="85"/>
  <c r="R46" i="85"/>
  <c r="R42" i="85"/>
  <c r="R38" i="85"/>
  <c r="R85" i="85"/>
  <c r="R58" i="85"/>
  <c r="R57" i="85"/>
  <c r="R33" i="85"/>
  <c r="R29" i="85"/>
  <c r="R93" i="85"/>
  <c r="R49" i="85"/>
  <c r="R48" i="85"/>
  <c r="R20" i="85"/>
  <c r="R86" i="85"/>
  <c r="R80" i="85"/>
  <c r="R77" i="85"/>
  <c r="R69" i="85"/>
  <c r="R68" i="85"/>
  <c r="R60" i="85"/>
  <c r="R59" i="85"/>
  <c r="R43" i="85"/>
  <c r="R39" i="85"/>
  <c r="R94" i="85"/>
  <c r="R73" i="85"/>
  <c r="R51" i="85"/>
  <c r="R50" i="85"/>
  <c r="R34" i="85"/>
  <c r="R30" i="85"/>
  <c r="R70" i="85"/>
  <c r="R62" i="85"/>
  <c r="R61" i="85"/>
  <c r="R26" i="85"/>
  <c r="R21" i="85"/>
  <c r="R75" i="85"/>
  <c r="R54" i="85"/>
  <c r="R97" i="85"/>
  <c r="R92" i="85"/>
  <c r="R88" i="85"/>
  <c r="R32" i="85"/>
  <c r="R28" i="85"/>
  <c r="X12" i="85"/>
  <c r="Z12" i="85" s="1"/>
  <c r="R83" i="85"/>
  <c r="R45" i="85"/>
  <c r="R41" i="85"/>
  <c r="R37" i="85"/>
  <c r="R25" i="85"/>
  <c r="R63" i="85"/>
  <c r="R31" i="85"/>
  <c r="R78" i="85"/>
  <c r="R74" i="85"/>
  <c r="R66" i="85"/>
  <c r="R64" i="85"/>
  <c r="R56" i="85"/>
  <c r="R52" i="85"/>
  <c r="R40" i="85"/>
  <c r="R35" i="85"/>
  <c r="R79" i="85"/>
  <c r="R71" i="85"/>
  <c r="R67" i="85"/>
  <c r="R55" i="85"/>
  <c r="R44" i="85"/>
  <c r="R18" i="85"/>
  <c r="R36" i="85"/>
  <c r="R81" i="85"/>
  <c r="R65" i="85"/>
  <c r="R23" i="85"/>
  <c r="P23" i="85"/>
  <c r="R19" i="85"/>
  <c r="R53" i="85"/>
  <c r="R27" i="85"/>
  <c r="R101" i="85"/>
  <c r="R84" i="85"/>
  <c r="P86" i="86"/>
  <c r="X20" i="86"/>
  <c r="L20" i="86"/>
  <c r="D86" i="86"/>
  <c r="T99" i="85"/>
  <c r="H79" i="73"/>
  <c r="V48" i="71"/>
  <c r="R97" i="77"/>
  <c r="R81" i="77"/>
  <c r="R70" i="77"/>
  <c r="R69" i="77"/>
  <c r="R41" i="77"/>
  <c r="R37" i="77"/>
  <c r="R117" i="77"/>
  <c r="R116" i="77"/>
  <c r="R109" i="77"/>
  <c r="R108" i="77"/>
  <c r="R104" i="77"/>
  <c r="R92" i="77"/>
  <c r="R64" i="77"/>
  <c r="R60" i="77"/>
  <c r="R72" i="77"/>
  <c r="R71" i="77"/>
  <c r="R55" i="77"/>
  <c r="R51" i="77"/>
  <c r="R118" i="77"/>
  <c r="R110" i="77"/>
  <c r="R120" i="77"/>
  <c r="R105" i="77"/>
  <c r="R112" i="77"/>
  <c r="R111" i="77"/>
  <c r="R114" i="77"/>
  <c r="R113" i="77"/>
  <c r="R102" i="77"/>
  <c r="R101" i="77"/>
  <c r="R78" i="77"/>
  <c r="R77" i="77"/>
  <c r="R53" i="77"/>
  <c r="R49" i="77"/>
  <c r="R86" i="77"/>
  <c r="R83" i="77"/>
  <c r="R59" i="77"/>
  <c r="R124" i="77"/>
  <c r="R87" i="77"/>
  <c r="R80" i="77"/>
  <c r="R93" i="77"/>
  <c r="R90" i="77"/>
  <c r="R73" i="77"/>
  <c r="R66" i="77"/>
  <c r="R56" i="77"/>
  <c r="R44" i="77"/>
  <c r="R107" i="77"/>
  <c r="R100" i="77"/>
  <c r="R74" i="77"/>
  <c r="R63" i="77"/>
  <c r="P44" i="77"/>
  <c r="R40" i="77"/>
  <c r="R115" i="77"/>
  <c r="R57" i="77"/>
  <c r="R91" i="77"/>
  <c r="R88" i="77"/>
  <c r="R84" i="77"/>
  <c r="R54" i="77"/>
  <c r="R46" i="77"/>
  <c r="R98" i="77"/>
  <c r="R75" i="77"/>
  <c r="R61" i="77"/>
  <c r="R58" i="77"/>
  <c r="R35" i="77"/>
  <c r="R106" i="77"/>
  <c r="R89" i="77"/>
  <c r="R82" i="77"/>
  <c r="R50" i="77"/>
  <c r="X12" i="77"/>
  <c r="Z12" i="77" s="1"/>
  <c r="R85" i="77"/>
  <c r="R96" i="77"/>
  <c r="R47" i="77"/>
  <c r="R36" i="77"/>
  <c r="R67" i="77"/>
  <c r="R62" i="77"/>
  <c r="R103" i="77"/>
  <c r="R79" i="77"/>
  <c r="R39" i="77"/>
  <c r="R99" i="77"/>
  <c r="R94" i="77"/>
  <c r="R65" i="77"/>
  <c r="R42" i="77"/>
  <c r="R95" i="77"/>
  <c r="R52" i="77"/>
  <c r="R38" i="77"/>
  <c r="R48" i="77"/>
  <c r="R76" i="77"/>
  <c r="R68" i="77"/>
  <c r="H85" i="82"/>
  <c r="N16" i="89"/>
  <c r="H30" i="89"/>
  <c r="L16" i="89"/>
  <c r="F107" i="71"/>
  <c r="F87" i="71"/>
  <c r="F86" i="71"/>
  <c r="F50" i="71"/>
  <c r="F43" i="71"/>
  <c r="F39" i="71"/>
  <c r="F35" i="71"/>
  <c r="F94" i="71"/>
  <c r="F78" i="71"/>
  <c r="F77" i="71"/>
  <c r="F70" i="71"/>
  <c r="F66" i="71"/>
  <c r="D48" i="71"/>
  <c r="F89" i="71"/>
  <c r="F88" i="71"/>
  <c r="F61" i="71"/>
  <c r="F57" i="71"/>
  <c r="F53" i="71"/>
  <c r="F90" i="71"/>
  <c r="F82" i="71"/>
  <c r="F81" i="71"/>
  <c r="F99" i="71"/>
  <c r="F98" i="71"/>
  <c r="F83" i="71"/>
  <c r="F59" i="71"/>
  <c r="F55" i="71"/>
  <c r="F102" i="71"/>
  <c r="F93" i="71"/>
  <c r="F85" i="71"/>
  <c r="F84" i="71"/>
  <c r="F69" i="71"/>
  <c r="F65" i="71"/>
  <c r="F92" i="71"/>
  <c r="F68" i="71"/>
  <c r="F63" i="71"/>
  <c r="F58" i="71"/>
  <c r="F101" i="71"/>
  <c r="F80" i="71"/>
  <c r="F74" i="71"/>
  <c r="F56" i="71"/>
  <c r="F51" i="71"/>
  <c r="F46" i="71"/>
  <c r="F41" i="71"/>
  <c r="F36" i="71"/>
  <c r="F54" i="71"/>
  <c r="F71" i="71"/>
  <c r="F52" i="71"/>
  <c r="F44" i="71"/>
  <c r="F95" i="71"/>
  <c r="F64" i="71"/>
  <c r="F34" i="71"/>
  <c r="F103" i="71"/>
  <c r="F67" i="71"/>
  <c r="F45" i="71"/>
  <c r="F40" i="71"/>
  <c r="F79" i="71"/>
  <c r="F73" i="71"/>
  <c r="F33" i="71"/>
  <c r="F37" i="71"/>
  <c r="F75" i="71"/>
  <c r="F62" i="71"/>
  <c r="F60" i="71"/>
  <c r="F96" i="71"/>
  <c r="F76" i="71"/>
  <c r="F97" i="71"/>
  <c r="F91" i="71"/>
  <c r="F72" i="71"/>
  <c r="F32" i="71"/>
  <c r="L12" i="71"/>
  <c r="N12" i="71" s="1"/>
  <c r="F42" i="71"/>
  <c r="F38" i="71"/>
  <c r="Z16" i="55"/>
  <c r="T33" i="55"/>
  <c r="L16" i="54"/>
  <c r="D22" i="54"/>
  <c r="R70" i="57"/>
  <c r="R69" i="57"/>
  <c r="R71" i="57"/>
  <c r="R74" i="57"/>
  <c r="R76" i="57"/>
  <c r="R81" i="57"/>
  <c r="R78" i="57"/>
  <c r="R20" i="57"/>
  <c r="R54" i="57"/>
  <c r="R46" i="57"/>
  <c r="R38" i="57"/>
  <c r="R34" i="57"/>
  <c r="R19" i="57"/>
  <c r="R17" i="57"/>
  <c r="R15" i="57"/>
  <c r="R62" i="57"/>
  <c r="R61" i="57"/>
  <c r="R30" i="57"/>
  <c r="R29" i="57"/>
  <c r="R25" i="57"/>
  <c r="R21" i="57"/>
  <c r="P17" i="57"/>
  <c r="R64" i="57"/>
  <c r="R63" i="57"/>
  <c r="R56" i="57"/>
  <c r="R55" i="57"/>
  <c r="R48" i="57"/>
  <c r="R47" i="57"/>
  <c r="R39" i="57"/>
  <c r="R35" i="57"/>
  <c r="R31" i="57"/>
  <c r="R26" i="57"/>
  <c r="R22" i="57"/>
  <c r="X12" i="57"/>
  <c r="R66" i="57"/>
  <c r="R65" i="57"/>
  <c r="R58" i="57"/>
  <c r="R57" i="57"/>
  <c r="R50" i="57"/>
  <c r="R49" i="57"/>
  <c r="R41" i="57"/>
  <c r="R40" i="57"/>
  <c r="R36" i="57"/>
  <c r="R32" i="57"/>
  <c r="R67" i="57"/>
  <c r="R59" i="57"/>
  <c r="R52" i="57"/>
  <c r="R51" i="57"/>
  <c r="R27" i="57"/>
  <c r="R23" i="57"/>
  <c r="R53" i="57"/>
  <c r="R37" i="57"/>
  <c r="R33" i="57"/>
  <c r="R60" i="57"/>
  <c r="R24" i="57"/>
  <c r="R44" i="57"/>
  <c r="R28" i="57"/>
  <c r="R42" i="57"/>
  <c r="R43" i="57"/>
  <c r="R45" i="57"/>
  <c r="R72" i="57"/>
  <c r="D73" i="48"/>
  <c r="L17" i="48"/>
  <c r="N17" i="48" s="1"/>
  <c r="F102" i="51"/>
  <c r="F93" i="51"/>
  <c r="F85" i="51"/>
  <c r="F84" i="51"/>
  <c r="F69" i="51"/>
  <c r="F65" i="51"/>
  <c r="F103" i="51"/>
  <c r="F101" i="51"/>
  <c r="F76" i="51"/>
  <c r="F75" i="51"/>
  <c r="F60" i="51"/>
  <c r="F56" i="51"/>
  <c r="F52" i="51"/>
  <c r="F51" i="51"/>
  <c r="F87" i="51"/>
  <c r="F86" i="51"/>
  <c r="F50" i="51"/>
  <c r="F48" i="51"/>
  <c r="F43" i="51"/>
  <c r="F39" i="51"/>
  <c r="F35" i="51"/>
  <c r="F94" i="51"/>
  <c r="F78" i="51"/>
  <c r="F77" i="51"/>
  <c r="F70" i="51"/>
  <c r="F66" i="51"/>
  <c r="D48" i="51"/>
  <c r="F107" i="51"/>
  <c r="F89" i="51"/>
  <c r="F88" i="51"/>
  <c r="F61" i="51"/>
  <c r="F57" i="51"/>
  <c r="F53" i="51"/>
  <c r="F80" i="51"/>
  <c r="F79" i="51"/>
  <c r="F44" i="51"/>
  <c r="F40" i="51"/>
  <c r="F36" i="51"/>
  <c r="F95" i="51"/>
  <c r="F71" i="51"/>
  <c r="F67" i="51"/>
  <c r="F90" i="51"/>
  <c r="F82" i="51"/>
  <c r="F81" i="51"/>
  <c r="F58" i="51"/>
  <c r="F54" i="51"/>
  <c r="F97" i="51"/>
  <c r="F96" i="51"/>
  <c r="F99" i="51"/>
  <c r="F98" i="51"/>
  <c r="F83" i="51"/>
  <c r="F59" i="51"/>
  <c r="F55" i="51"/>
  <c r="F74" i="51"/>
  <c r="F32" i="51"/>
  <c r="F46" i="51"/>
  <c r="F42" i="51"/>
  <c r="F38" i="51"/>
  <c r="F34" i="51"/>
  <c r="F72" i="51"/>
  <c r="F68" i="51"/>
  <c r="F64" i="51"/>
  <c r="F92" i="51"/>
  <c r="F62" i="51"/>
  <c r="F33" i="51"/>
  <c r="F73" i="51"/>
  <c r="L12" i="51"/>
  <c r="N12" i="51" s="1"/>
  <c r="F63" i="51"/>
  <c r="F41" i="51"/>
  <c r="F45" i="51"/>
  <c r="F91" i="51"/>
  <c r="F37" i="51"/>
  <c r="H105" i="45"/>
  <c r="R117" i="42"/>
  <c r="R85" i="42"/>
  <c r="R38" i="42"/>
  <c r="R37" i="42"/>
  <c r="R33" i="42"/>
  <c r="R29" i="42"/>
  <c r="P25" i="42"/>
  <c r="R118" i="42"/>
  <c r="R108" i="42"/>
  <c r="R100" i="42"/>
  <c r="R96" i="42"/>
  <c r="R92" i="42"/>
  <c r="R81" i="42"/>
  <c r="R80" i="42"/>
  <c r="R65" i="42"/>
  <c r="R64" i="42"/>
  <c r="R56" i="42"/>
  <c r="R75" i="42"/>
  <c r="R47" i="42"/>
  <c r="R43" i="42"/>
  <c r="R39" i="42"/>
  <c r="R20" i="42"/>
  <c r="R87" i="42"/>
  <c r="R86" i="42"/>
  <c r="R82" i="42"/>
  <c r="R109" i="42"/>
  <c r="R102" i="42"/>
  <c r="R101" i="42"/>
  <c r="R97" i="42"/>
  <c r="R93" i="42"/>
  <c r="R57" i="42"/>
  <c r="R21" i="42"/>
  <c r="R122" i="42"/>
  <c r="R88" i="42"/>
  <c r="R76" i="42"/>
  <c r="R69" i="42"/>
  <c r="R68" i="42"/>
  <c r="R49" i="42"/>
  <c r="R48" i="42"/>
  <c r="R44" i="42"/>
  <c r="R40" i="42"/>
  <c r="X12" i="42"/>
  <c r="Z12" i="42" s="1"/>
  <c r="R103" i="42"/>
  <c r="R83" i="42"/>
  <c r="R35" i="42"/>
  <c r="R31" i="42"/>
  <c r="R111" i="42"/>
  <c r="R110" i="42"/>
  <c r="R98" i="42"/>
  <c r="R94" i="42"/>
  <c r="R71" i="42"/>
  <c r="R70" i="42"/>
  <c r="R59" i="42"/>
  <c r="R58" i="42"/>
  <c r="R51" i="42"/>
  <c r="R50" i="42"/>
  <c r="R22" i="42"/>
  <c r="R90" i="42"/>
  <c r="R89" i="42"/>
  <c r="R78" i="42"/>
  <c r="R77" i="42"/>
  <c r="R45" i="42"/>
  <c r="R41" i="42"/>
  <c r="R115" i="42"/>
  <c r="R114" i="42"/>
  <c r="R99" i="42"/>
  <c r="R95" i="42"/>
  <c r="R91" i="42"/>
  <c r="R79" i="42"/>
  <c r="R28" i="42"/>
  <c r="R23" i="42"/>
  <c r="R63" i="42"/>
  <c r="R60" i="42"/>
  <c r="R54" i="42"/>
  <c r="R27" i="42"/>
  <c r="R112" i="42"/>
  <c r="R73" i="42"/>
  <c r="R106" i="42"/>
  <c r="R61" i="42"/>
  <c r="R66" i="42"/>
  <c r="R104" i="42"/>
  <c r="R55" i="42"/>
  <c r="R52" i="42"/>
  <c r="R67" i="42"/>
  <c r="R42" i="42"/>
  <c r="R34" i="42"/>
  <c r="R30" i="42"/>
  <c r="R25" i="42"/>
  <c r="R107" i="42"/>
  <c r="R74" i="42"/>
  <c r="R62" i="42"/>
  <c r="R53" i="42"/>
  <c r="R46" i="42"/>
  <c r="R36" i="42"/>
  <c r="R32" i="42"/>
  <c r="R72" i="42"/>
  <c r="R116" i="42"/>
  <c r="R84" i="42"/>
  <c r="R105" i="42"/>
  <c r="R68" i="33"/>
  <c r="R67" i="33"/>
  <c r="R60" i="33"/>
  <c r="R59" i="33"/>
  <c r="R51" i="33"/>
  <c r="R47" i="33"/>
  <c r="R32" i="33"/>
  <c r="R30" i="33"/>
  <c r="R74" i="33"/>
  <c r="R43" i="33"/>
  <c r="R42" i="33"/>
  <c r="R38" i="33"/>
  <c r="R34" i="33"/>
  <c r="P30" i="33"/>
  <c r="R87" i="33"/>
  <c r="R70" i="33"/>
  <c r="R69" i="33"/>
  <c r="R62" i="33"/>
  <c r="R61" i="33"/>
  <c r="R76" i="33"/>
  <c r="R75" i="33"/>
  <c r="R71" i="33"/>
  <c r="R63" i="33"/>
  <c r="R39" i="33"/>
  <c r="R35" i="33"/>
  <c r="R78" i="33"/>
  <c r="R77" i="33"/>
  <c r="R54" i="33"/>
  <c r="R53" i="33"/>
  <c r="R49" i="33"/>
  <c r="R45" i="33"/>
  <c r="R26" i="33"/>
  <c r="R72" i="33"/>
  <c r="R65" i="33"/>
  <c r="R64" i="33"/>
  <c r="R40" i="33"/>
  <c r="R36" i="33"/>
  <c r="R79" i="33"/>
  <c r="R56" i="33"/>
  <c r="R55" i="33"/>
  <c r="R27" i="33"/>
  <c r="R83" i="33"/>
  <c r="R73" i="33"/>
  <c r="R58" i="33"/>
  <c r="R57" i="33"/>
  <c r="R41" i="33"/>
  <c r="R37" i="33"/>
  <c r="R33" i="33"/>
  <c r="R66" i="33"/>
  <c r="R81" i="33"/>
  <c r="R52" i="33"/>
  <c r="R28" i="33"/>
  <c r="R50" i="33"/>
  <c r="R48" i="33"/>
  <c r="R82" i="33"/>
  <c r="R46" i="33"/>
  <c r="X12" i="33"/>
  <c r="Z12" i="33" s="1"/>
  <c r="R44" i="33"/>
  <c r="H85" i="33"/>
  <c r="J30" i="33"/>
  <c r="F67" i="24"/>
  <c r="F66" i="24"/>
  <c r="F59" i="24"/>
  <c r="F55" i="24"/>
  <c r="F90" i="24"/>
  <c r="F78" i="24"/>
  <c r="F77" i="24"/>
  <c r="F50" i="24"/>
  <c r="F46" i="24"/>
  <c r="F42" i="24"/>
  <c r="F41" i="24"/>
  <c r="F85" i="24"/>
  <c r="F69" i="24"/>
  <c r="F68" i="24"/>
  <c r="F40" i="24"/>
  <c r="F38" i="24"/>
  <c r="F33" i="24"/>
  <c r="F29" i="24"/>
  <c r="F28" i="24"/>
  <c r="F92" i="24"/>
  <c r="F91" i="24"/>
  <c r="F60" i="24"/>
  <c r="F56" i="24"/>
  <c r="F52" i="24"/>
  <c r="F51" i="24"/>
  <c r="D38" i="24"/>
  <c r="F79" i="24"/>
  <c r="F47" i="24"/>
  <c r="F43" i="24"/>
  <c r="F86" i="24"/>
  <c r="F70" i="24"/>
  <c r="F34" i="24"/>
  <c r="F30" i="24"/>
  <c r="F96" i="24"/>
  <c r="F94" i="24"/>
  <c r="F81" i="24"/>
  <c r="F80" i="24"/>
  <c r="F61" i="24"/>
  <c r="F57" i="24"/>
  <c r="F53" i="24"/>
  <c r="F98" i="24"/>
  <c r="F72" i="24"/>
  <c r="F71" i="24"/>
  <c r="F48" i="24"/>
  <c r="F44" i="24"/>
  <c r="F87" i="24"/>
  <c r="F63" i="24"/>
  <c r="F62" i="24"/>
  <c r="F35" i="24"/>
  <c r="F31" i="24"/>
  <c r="F103" i="24"/>
  <c r="F100" i="24"/>
  <c r="F89" i="24"/>
  <c r="F88" i="24"/>
  <c r="F65" i="24"/>
  <c r="F64" i="24"/>
  <c r="F49" i="24"/>
  <c r="F45" i="24"/>
  <c r="F73" i="24"/>
  <c r="F76" i="24"/>
  <c r="F54" i="24"/>
  <c r="F32" i="24"/>
  <c r="F74" i="24"/>
  <c r="L12" i="24"/>
  <c r="N12" i="24" s="1"/>
  <c r="F83" i="24"/>
  <c r="F58" i="24"/>
  <c r="F84" i="24"/>
  <c r="F82" i="24"/>
  <c r="F75" i="24"/>
  <c r="F36" i="24"/>
  <c r="H231" i="15"/>
  <c r="T231" i="15"/>
  <c r="V227" i="15"/>
  <c r="D270" i="3"/>
  <c r="L152" i="3"/>
  <c r="N152" i="3" s="1"/>
  <c r="H27" i="53"/>
  <c r="N18" i="53"/>
  <c r="L18" i="53"/>
  <c r="D27" i="53"/>
  <c r="H27" i="50"/>
  <c r="N18" i="50"/>
  <c r="X18" i="46"/>
  <c r="P27" i="46"/>
  <c r="H27" i="47"/>
  <c r="N18" i="47"/>
  <c r="L18" i="40"/>
  <c r="D27" i="40"/>
  <c r="L18" i="43"/>
  <c r="D27" i="43"/>
  <c r="T27" i="34"/>
  <c r="Z18" i="34"/>
  <c r="H27" i="38"/>
  <c r="N18" i="38"/>
  <c r="L18" i="28"/>
  <c r="D27" i="28"/>
  <c r="H27" i="22"/>
  <c r="N18" i="22"/>
  <c r="D27" i="32"/>
  <c r="L18" i="32"/>
  <c r="L18" i="22"/>
  <c r="D27" i="22"/>
  <c r="X18" i="25"/>
  <c r="P27" i="25"/>
  <c r="H27" i="28"/>
  <c r="N18" i="28"/>
  <c r="X18" i="19"/>
  <c r="P27" i="19"/>
  <c r="X18" i="17"/>
  <c r="P27" i="17"/>
  <c r="L18" i="29"/>
  <c r="D27" i="29"/>
  <c r="L18" i="20"/>
  <c r="D27" i="20"/>
  <c r="X18" i="11"/>
  <c r="P27" i="11"/>
  <c r="H27" i="4"/>
  <c r="N18" i="4"/>
  <c r="L18" i="11"/>
  <c r="D27" i="11"/>
  <c r="P27" i="14"/>
  <c r="X18" i="14"/>
  <c r="H27" i="10"/>
  <c r="N18" i="10"/>
  <c r="T91" i="79"/>
  <c r="Z20" i="79"/>
  <c r="P76" i="58"/>
  <c r="X16" i="58"/>
  <c r="H24" i="93"/>
  <c r="L24" i="93" s="1"/>
  <c r="N16" i="93"/>
  <c r="L16" i="93"/>
  <c r="R79" i="95"/>
  <c r="R60" i="95"/>
  <c r="R59" i="95"/>
  <c r="R48" i="95"/>
  <c r="R47" i="95"/>
  <c r="R74" i="95"/>
  <c r="R70" i="95"/>
  <c r="R69" i="95"/>
  <c r="R62" i="95"/>
  <c r="R61" i="95"/>
  <c r="R50" i="95"/>
  <c r="R49" i="95"/>
  <c r="R41" i="95"/>
  <c r="R37" i="95"/>
  <c r="R81" i="95"/>
  <c r="R80" i="95"/>
  <c r="R33" i="95"/>
  <c r="R32" i="95"/>
  <c r="R28" i="95"/>
  <c r="R24" i="95"/>
  <c r="R75" i="95"/>
  <c r="R71" i="95"/>
  <c r="R64" i="95"/>
  <c r="R63" i="95"/>
  <c r="R52" i="95"/>
  <c r="R51" i="95"/>
  <c r="R86" i="95"/>
  <c r="R84" i="95"/>
  <c r="R66" i="95"/>
  <c r="R65" i="95"/>
  <c r="R54" i="95"/>
  <c r="R53" i="95"/>
  <c r="R29" i="95"/>
  <c r="R25" i="95"/>
  <c r="R67" i="95"/>
  <c r="R56" i="95"/>
  <c r="R55" i="95"/>
  <c r="R44" i="95"/>
  <c r="R43" i="95"/>
  <c r="R39" i="95"/>
  <c r="R35" i="95"/>
  <c r="R90" i="95"/>
  <c r="R76" i="95"/>
  <c r="R58" i="95"/>
  <c r="R46" i="95"/>
  <c r="P19" i="95"/>
  <c r="R72" i="95"/>
  <c r="R21" i="95"/>
  <c r="R22" i="95"/>
  <c r="R27" i="95"/>
  <c r="R16" i="95"/>
  <c r="R88" i="95"/>
  <c r="R68" i="95"/>
  <c r="R30" i="95"/>
  <c r="R42" i="95"/>
  <c r="R73" i="95"/>
  <c r="R57" i="95"/>
  <c r="R45" i="95"/>
  <c r="R36" i="95"/>
  <c r="R26" i="95"/>
  <c r="R34" i="95"/>
  <c r="R17" i="95"/>
  <c r="R31" i="95"/>
  <c r="R77" i="95"/>
  <c r="R82" i="95"/>
  <c r="R93" i="95"/>
  <c r="X12" i="95"/>
  <c r="Z12" i="95" s="1"/>
  <c r="R23" i="95"/>
  <c r="R78" i="95"/>
  <c r="R40" i="95"/>
  <c r="R38" i="95"/>
  <c r="R19" i="95"/>
  <c r="L16" i="88"/>
  <c r="D56" i="88"/>
  <c r="N17" i="90"/>
  <c r="H40" i="90"/>
  <c r="N17" i="87"/>
  <c r="H27" i="87"/>
  <c r="L17" i="87"/>
  <c r="D27" i="87"/>
  <c r="T80" i="83"/>
  <c r="Z19" i="83"/>
  <c r="P87" i="81"/>
  <c r="X16" i="81"/>
  <c r="H90" i="76"/>
  <c r="Z23" i="75"/>
  <c r="T49" i="75"/>
  <c r="R71" i="70"/>
  <c r="R56" i="70"/>
  <c r="R55" i="70"/>
  <c r="R39" i="70"/>
  <c r="R35" i="70"/>
  <c r="R66" i="70"/>
  <c r="R65" i="70"/>
  <c r="R58" i="70"/>
  <c r="R57" i="70"/>
  <c r="R49" i="70"/>
  <c r="R45" i="70"/>
  <c r="R30" i="70"/>
  <c r="R28" i="70"/>
  <c r="R26" i="70"/>
  <c r="R76" i="70"/>
  <c r="R75" i="70"/>
  <c r="R52" i="70"/>
  <c r="R51" i="70"/>
  <c r="R47" i="70"/>
  <c r="R43" i="70"/>
  <c r="R77" i="70"/>
  <c r="R54" i="70"/>
  <c r="R53" i="70"/>
  <c r="R63" i="70"/>
  <c r="X12" i="70"/>
  <c r="Z12" i="70" s="1"/>
  <c r="R79" i="70"/>
  <c r="R60" i="70"/>
  <c r="R50" i="70"/>
  <c r="R42" i="70"/>
  <c r="R84" i="70"/>
  <c r="R38" i="70"/>
  <c r="R80" i="70"/>
  <c r="R67" i="70"/>
  <c r="R64" i="70"/>
  <c r="P28" i="70"/>
  <c r="R70" i="70"/>
  <c r="R48" i="70"/>
  <c r="R36" i="70"/>
  <c r="R33" i="70"/>
  <c r="R73" i="70"/>
  <c r="R68" i="70"/>
  <c r="R74" i="70"/>
  <c r="R31" i="70"/>
  <c r="R44" i="70"/>
  <c r="R62" i="70"/>
  <c r="R40" i="70"/>
  <c r="R69" i="70"/>
  <c r="R41" i="70"/>
  <c r="R72" i="70"/>
  <c r="R37" i="70"/>
  <c r="R59" i="70"/>
  <c r="R61" i="70"/>
  <c r="R34" i="70"/>
  <c r="R32" i="70"/>
  <c r="R46" i="70"/>
  <c r="V151" i="69"/>
  <c r="T155" i="69"/>
  <c r="P58" i="60"/>
  <c r="X16" i="60"/>
  <c r="P66" i="65"/>
  <c r="X18" i="65"/>
  <c r="Z18" i="65" s="1"/>
  <c r="L16" i="59"/>
  <c r="D71" i="59"/>
  <c r="P74" i="67"/>
  <c r="X23" i="67"/>
  <c r="Z23" i="67" s="1"/>
  <c r="N16" i="54"/>
  <c r="H22" i="54"/>
  <c r="D58" i="60"/>
  <c r="L16" i="60"/>
  <c r="X27" i="36"/>
  <c r="Z27" i="36" s="1"/>
  <c r="P127" i="36"/>
  <c r="P127" i="39"/>
  <c r="X31" i="39"/>
  <c r="N17" i="9"/>
  <c r="H103" i="9"/>
  <c r="J152" i="3"/>
  <c r="D169" i="30"/>
  <c r="L78" i="30"/>
  <c r="N78" i="30" s="1"/>
  <c r="X18" i="100"/>
  <c r="P27" i="100"/>
  <c r="X18" i="53"/>
  <c r="P27" i="53"/>
  <c r="N18" i="46"/>
  <c r="H27" i="46"/>
  <c r="H27" i="41"/>
  <c r="N18" i="41"/>
  <c r="X18" i="37"/>
  <c r="P27" i="37"/>
  <c r="L18" i="38"/>
  <c r="D27" i="38"/>
  <c r="H27" i="25"/>
  <c r="N18" i="25"/>
  <c r="D27" i="10"/>
  <c r="L18" i="10"/>
  <c r="D28" i="93"/>
  <c r="D80" i="83"/>
  <c r="L19" i="83"/>
  <c r="F113" i="77"/>
  <c r="F112" i="77"/>
  <c r="F101" i="77"/>
  <c r="F77" i="77"/>
  <c r="F76" i="77"/>
  <c r="F53" i="77"/>
  <c r="F49" i="77"/>
  <c r="F96" i="77"/>
  <c r="F95" i="77"/>
  <c r="F88" i="77"/>
  <c r="F87" i="77"/>
  <c r="F115" i="77"/>
  <c r="F114" i="77"/>
  <c r="F107" i="77"/>
  <c r="F103" i="77"/>
  <c r="F102" i="77"/>
  <c r="F79" i="77"/>
  <c r="F78" i="77"/>
  <c r="F67" i="77"/>
  <c r="F63" i="77"/>
  <c r="F59" i="77"/>
  <c r="F105" i="77"/>
  <c r="F93" i="77"/>
  <c r="F73" i="77"/>
  <c r="F72" i="77"/>
  <c r="F65" i="77"/>
  <c r="F61" i="77"/>
  <c r="F111" i="77"/>
  <c r="F106" i="77"/>
  <c r="F92" i="77"/>
  <c r="F85" i="77"/>
  <c r="F75" i="77"/>
  <c r="F58" i="77"/>
  <c r="F47" i="77"/>
  <c r="F104" i="77"/>
  <c r="F89" i="77"/>
  <c r="F82" i="77"/>
  <c r="F68" i="77"/>
  <c r="F55" i="77"/>
  <c r="F48" i="77"/>
  <c r="L12" i="77"/>
  <c r="N12" i="77" s="1"/>
  <c r="F120" i="77"/>
  <c r="F36" i="77"/>
  <c r="F35" i="77"/>
  <c r="F109" i="77"/>
  <c r="F86" i="77"/>
  <c r="F62" i="77"/>
  <c r="F42" i="77"/>
  <c r="F39" i="77"/>
  <c r="F124" i="77"/>
  <c r="F110" i="77"/>
  <c r="F99" i="77"/>
  <c r="F90" i="77"/>
  <c r="F80" i="77"/>
  <c r="F117" i="77"/>
  <c r="F83" i="77"/>
  <c r="F69" i="77"/>
  <c r="F56" i="77"/>
  <c r="F51" i="77"/>
  <c r="F74" i="77"/>
  <c r="F70" i="77"/>
  <c r="D44" i="77"/>
  <c r="F94" i="77"/>
  <c r="F91" i="77"/>
  <c r="F81" i="77"/>
  <c r="F57" i="77"/>
  <c r="F52" i="77"/>
  <c r="F108" i="77"/>
  <c r="F100" i="77"/>
  <c r="F66" i="77"/>
  <c r="F118" i="77"/>
  <c r="F98" i="77"/>
  <c r="F64" i="77"/>
  <c r="F44" i="77"/>
  <c r="F38" i="77"/>
  <c r="F41" i="77"/>
  <c r="F50" i="77"/>
  <c r="F40" i="77"/>
  <c r="F37" i="77"/>
  <c r="F116" i="77"/>
  <c r="F71" i="77"/>
  <c r="F46" i="77"/>
  <c r="F60" i="77"/>
  <c r="F54" i="77"/>
  <c r="F84" i="77"/>
  <c r="F97" i="77"/>
  <c r="F45" i="75"/>
  <c r="F41" i="75"/>
  <c r="F37" i="75"/>
  <c r="D23" i="75"/>
  <c r="F32" i="75"/>
  <c r="F28" i="75"/>
  <c r="L12" i="75"/>
  <c r="N12" i="75" s="1"/>
  <c r="F19" i="75"/>
  <c r="F18" i="75"/>
  <c r="F47" i="75"/>
  <c r="F42" i="75"/>
  <c r="F38" i="75"/>
  <c r="F51" i="75"/>
  <c r="F33" i="75"/>
  <c r="F29" i="75"/>
  <c r="F20" i="75"/>
  <c r="F44" i="75"/>
  <c r="F40" i="75"/>
  <c r="F36" i="75"/>
  <c r="F35" i="75"/>
  <c r="F26" i="75"/>
  <c r="F31" i="75"/>
  <c r="F27" i="75"/>
  <c r="F34" i="75"/>
  <c r="F30" i="75"/>
  <c r="F43" i="75"/>
  <c r="F39" i="75"/>
  <c r="F25" i="75"/>
  <c r="F21" i="75"/>
  <c r="H129" i="77"/>
  <c r="X19" i="74"/>
  <c r="P70" i="74"/>
  <c r="H105" i="71"/>
  <c r="F149" i="69"/>
  <c r="F128" i="69"/>
  <c r="F127" i="69"/>
  <c r="F120" i="69"/>
  <c r="F119" i="69"/>
  <c r="F112" i="69"/>
  <c r="F111" i="69"/>
  <c r="F134" i="69"/>
  <c r="F147" i="69"/>
  <c r="F126" i="69"/>
  <c r="F118" i="69"/>
  <c r="F110" i="69"/>
  <c r="F109" i="69"/>
  <c r="F113" i="69"/>
  <c r="F97" i="69"/>
  <c r="F93" i="69"/>
  <c r="F144" i="69"/>
  <c r="F140" i="69"/>
  <c r="F130" i="69"/>
  <c r="F103" i="69"/>
  <c r="F88" i="69"/>
  <c r="F84" i="69"/>
  <c r="F141" i="69"/>
  <c r="F136" i="69"/>
  <c r="F131" i="69"/>
  <c r="F123" i="69"/>
  <c r="F104" i="69"/>
  <c r="F75" i="69"/>
  <c r="F71" i="69"/>
  <c r="F67" i="69"/>
  <c r="F63" i="69"/>
  <c r="F59" i="69"/>
  <c r="F55" i="69"/>
  <c r="F124" i="69"/>
  <c r="F115" i="69"/>
  <c r="F114" i="69"/>
  <c r="F89" i="69"/>
  <c r="F85" i="69"/>
  <c r="F81" i="69"/>
  <c r="F80" i="69"/>
  <c r="F148" i="69"/>
  <c r="F138" i="69"/>
  <c r="F135" i="69"/>
  <c r="F132" i="69"/>
  <c r="F125" i="69"/>
  <c r="F116" i="69"/>
  <c r="F73" i="69"/>
  <c r="F69" i="69"/>
  <c r="F65" i="69"/>
  <c r="F61" i="69"/>
  <c r="F57" i="69"/>
  <c r="F53" i="69"/>
  <c r="F52" i="69"/>
  <c r="F87" i="69"/>
  <c r="F137" i="69"/>
  <c r="F105" i="69"/>
  <c r="F129" i="69"/>
  <c r="F91" i="69"/>
  <c r="F86" i="69"/>
  <c r="D77" i="69"/>
  <c r="F68" i="69"/>
  <c r="F62" i="69"/>
  <c r="F143" i="69"/>
  <c r="F100" i="69"/>
  <c r="F98" i="69"/>
  <c r="F56" i="69"/>
  <c r="F146" i="69"/>
  <c r="F106" i="69"/>
  <c r="F96" i="69"/>
  <c r="F74" i="69"/>
  <c r="F94" i="69"/>
  <c r="F82" i="69"/>
  <c r="F79" i="69"/>
  <c r="F60" i="69"/>
  <c r="F90" i="69"/>
  <c r="F64" i="69"/>
  <c r="F54" i="69"/>
  <c r="F153" i="69"/>
  <c r="F58" i="69"/>
  <c r="L12" i="69"/>
  <c r="N12" i="69" s="1"/>
  <c r="F133" i="69"/>
  <c r="F101" i="69"/>
  <c r="F99" i="69"/>
  <c r="F92" i="69"/>
  <c r="F122" i="69"/>
  <c r="F139" i="69"/>
  <c r="F108" i="69"/>
  <c r="F72" i="69"/>
  <c r="F83" i="69"/>
  <c r="F121" i="69"/>
  <c r="F66" i="69"/>
  <c r="F117" i="69"/>
  <c r="F107" i="69"/>
  <c r="F95" i="69"/>
  <c r="F142" i="69"/>
  <c r="F102" i="69"/>
  <c r="F70" i="69"/>
  <c r="H105" i="51"/>
  <c r="P71" i="59"/>
  <c r="X16" i="59"/>
  <c r="N17" i="57"/>
  <c r="H74" i="57"/>
  <c r="R23" i="45"/>
  <c r="L70" i="48"/>
  <c r="N70" i="48" s="1"/>
  <c r="F70" i="48"/>
  <c r="T131" i="36"/>
  <c r="H96" i="24"/>
  <c r="T169" i="30"/>
  <c r="V55" i="27"/>
  <c r="T107" i="9"/>
  <c r="L18" i="49"/>
  <c r="D27" i="49"/>
  <c r="D27" i="47"/>
  <c r="L18" i="47"/>
  <c r="T27" i="49"/>
  <c r="Z18" i="49"/>
  <c r="T27" i="43"/>
  <c r="Z18" i="43"/>
  <c r="T27" i="41"/>
  <c r="Z18" i="41"/>
  <c r="X18" i="34"/>
  <c r="P27" i="34"/>
  <c r="H27" i="26"/>
  <c r="N18" i="26"/>
  <c r="D27" i="25"/>
  <c r="L18" i="25"/>
  <c r="L18" i="13"/>
  <c r="D27" i="13"/>
  <c r="Z18" i="4"/>
  <c r="T27" i="4"/>
  <c r="P27" i="7"/>
  <c r="X18" i="7"/>
  <c r="P79" i="73"/>
  <c r="X22" i="73"/>
  <c r="Z22" i="73" s="1"/>
  <c r="R22" i="73"/>
  <c r="H89" i="70"/>
  <c r="R167" i="30"/>
  <c r="R156" i="30"/>
  <c r="R155" i="30"/>
  <c r="R139" i="30"/>
  <c r="R108" i="30"/>
  <c r="R107" i="30"/>
  <c r="R99" i="30"/>
  <c r="R150" i="30"/>
  <c r="R146" i="30"/>
  <c r="R134" i="30"/>
  <c r="R127" i="30"/>
  <c r="R126" i="30"/>
  <c r="R118" i="30"/>
  <c r="R158" i="30"/>
  <c r="R157" i="30"/>
  <c r="R110" i="30"/>
  <c r="R109" i="30"/>
  <c r="R171" i="30"/>
  <c r="R159" i="30"/>
  <c r="R151" i="30"/>
  <c r="R147" i="30"/>
  <c r="R135" i="30"/>
  <c r="R120" i="30"/>
  <c r="R119" i="30"/>
  <c r="R142" i="30"/>
  <c r="R130" i="30"/>
  <c r="R161" i="30"/>
  <c r="R160" i="30"/>
  <c r="R153" i="30"/>
  <c r="R152" i="30"/>
  <c r="R148" i="30"/>
  <c r="R137" i="30"/>
  <c r="R136" i="30"/>
  <c r="R144" i="30"/>
  <c r="R143" i="30"/>
  <c r="R131" i="30"/>
  <c r="R123" i="30"/>
  <c r="R115" i="30"/>
  <c r="R165" i="30"/>
  <c r="R164" i="30"/>
  <c r="R149" i="30"/>
  <c r="R145" i="30"/>
  <c r="R121" i="30"/>
  <c r="R103" i="30"/>
  <c r="R133" i="30"/>
  <c r="R93" i="30"/>
  <c r="R88" i="30"/>
  <c r="R84" i="30"/>
  <c r="R113" i="30"/>
  <c r="R75" i="30"/>
  <c r="R71" i="30"/>
  <c r="R67" i="30"/>
  <c r="R63" i="30"/>
  <c r="R59" i="30"/>
  <c r="R55" i="30"/>
  <c r="R166" i="30"/>
  <c r="R129" i="30"/>
  <c r="R104" i="30"/>
  <c r="R100" i="30"/>
  <c r="R97" i="30"/>
  <c r="R124" i="30"/>
  <c r="R122" i="30"/>
  <c r="R94" i="30"/>
  <c r="R89" i="30"/>
  <c r="R85" i="30"/>
  <c r="R116" i="30"/>
  <c r="R111" i="30"/>
  <c r="R81" i="30"/>
  <c r="R76" i="30"/>
  <c r="R72" i="30"/>
  <c r="R68" i="30"/>
  <c r="R64" i="30"/>
  <c r="R60" i="30"/>
  <c r="R56" i="30"/>
  <c r="X12" i="30"/>
  <c r="Z12" i="30" s="1"/>
  <c r="R114" i="30"/>
  <c r="R80" i="30"/>
  <c r="R52" i="30"/>
  <c r="R162" i="30"/>
  <c r="R140" i="30"/>
  <c r="R112" i="30"/>
  <c r="R105" i="30"/>
  <c r="R101" i="30"/>
  <c r="R98" i="30"/>
  <c r="R95" i="30"/>
  <c r="R91" i="30"/>
  <c r="R90" i="30"/>
  <c r="R86" i="30"/>
  <c r="R82" i="30"/>
  <c r="P78" i="30"/>
  <c r="R138" i="30"/>
  <c r="R132" i="30"/>
  <c r="R125" i="30"/>
  <c r="R102" i="30"/>
  <c r="R73" i="30"/>
  <c r="R69" i="30"/>
  <c r="R65" i="30"/>
  <c r="R61" i="30"/>
  <c r="R57" i="30"/>
  <c r="R53" i="30"/>
  <c r="R141" i="30"/>
  <c r="R117" i="30"/>
  <c r="R106" i="30"/>
  <c r="R87" i="30"/>
  <c r="R83" i="30"/>
  <c r="R54" i="30"/>
  <c r="R92" i="30"/>
  <c r="R58" i="30"/>
  <c r="R154" i="30"/>
  <c r="R62" i="30"/>
  <c r="R66" i="30"/>
  <c r="R70" i="30"/>
  <c r="R128" i="30"/>
  <c r="R96" i="30"/>
  <c r="R74" i="30"/>
  <c r="T27" i="32"/>
  <c r="Z18" i="32"/>
  <c r="T27" i="5"/>
  <c r="Z18" i="5"/>
  <c r="H151" i="69"/>
  <c r="J77" i="69"/>
  <c r="H119" i="66"/>
  <c r="J54" i="66"/>
  <c r="F75" i="45"/>
  <c r="F59" i="45"/>
  <c r="F58" i="45"/>
  <c r="F47" i="45"/>
  <c r="F43" i="45"/>
  <c r="F39" i="45"/>
  <c r="F99" i="45"/>
  <c r="F90" i="45"/>
  <c r="F86" i="45"/>
  <c r="F82" i="45"/>
  <c r="F70" i="45"/>
  <c r="F34" i="45"/>
  <c r="F30" i="45"/>
  <c r="F92" i="45"/>
  <c r="F91" i="45"/>
  <c r="F76" i="45"/>
  <c r="F44" i="45"/>
  <c r="F40" i="45"/>
  <c r="F87" i="45"/>
  <c r="F83" i="45"/>
  <c r="F93" i="45"/>
  <c r="F77" i="45"/>
  <c r="F65" i="45"/>
  <c r="F64" i="45"/>
  <c r="F53" i="45"/>
  <c r="F52" i="45"/>
  <c r="F45" i="45"/>
  <c r="F41" i="45"/>
  <c r="F88" i="45"/>
  <c r="F84" i="45"/>
  <c r="F72" i="45"/>
  <c r="F74" i="45"/>
  <c r="F73" i="45"/>
  <c r="F46" i="45"/>
  <c r="F42" i="45"/>
  <c r="F38" i="45"/>
  <c r="F37" i="45"/>
  <c r="F79" i="45"/>
  <c r="F54" i="45"/>
  <c r="F49" i="45"/>
  <c r="F96" i="45"/>
  <c r="F63" i="45"/>
  <c r="F28" i="45"/>
  <c r="F25" i="45"/>
  <c r="F60" i="45"/>
  <c r="F55" i="45"/>
  <c r="F20" i="45"/>
  <c r="F69" i="45"/>
  <c r="F36" i="45"/>
  <c r="F32" i="45"/>
  <c r="F26" i="45"/>
  <c r="F103" i="45"/>
  <c r="F94" i="45"/>
  <c r="F85" i="45"/>
  <c r="F71" i="45"/>
  <c r="F66" i="45"/>
  <c r="F61" i="45"/>
  <c r="L12" i="45"/>
  <c r="N12" i="45" s="1"/>
  <c r="F80" i="45"/>
  <c r="F50" i="45"/>
  <c r="F21" i="45"/>
  <c r="F97" i="45"/>
  <c r="F67" i="45"/>
  <c r="F27" i="45"/>
  <c r="F95" i="45"/>
  <c r="F56" i="45"/>
  <c r="F29" i="45"/>
  <c r="F35" i="45"/>
  <c r="F33" i="45"/>
  <c r="F31" i="45"/>
  <c r="F89" i="45"/>
  <c r="F81" i="45"/>
  <c r="F78" i="45"/>
  <c r="F48" i="45"/>
  <c r="F23" i="45"/>
  <c r="F68" i="45"/>
  <c r="F62" i="45"/>
  <c r="F18" i="45"/>
  <c r="D23" i="45"/>
  <c r="F51" i="45"/>
  <c r="F19" i="45"/>
  <c r="F57" i="45"/>
  <c r="F200" i="12"/>
  <c r="F164" i="12"/>
  <c r="F223" i="12"/>
  <c r="F215" i="12"/>
  <c r="F211" i="12"/>
  <c r="F207" i="12"/>
  <c r="F206" i="12"/>
  <c r="F195" i="12"/>
  <c r="F236" i="12"/>
  <c r="F190" i="12"/>
  <c r="F182" i="12"/>
  <c r="F174" i="12"/>
  <c r="F166" i="12"/>
  <c r="F165" i="12"/>
  <c r="F158" i="12"/>
  <c r="F191" i="12"/>
  <c r="F175" i="12"/>
  <c r="F226" i="12"/>
  <c r="F225" i="12"/>
  <c r="F218" i="12"/>
  <c r="F202" i="12"/>
  <c r="F198" i="12"/>
  <c r="F197" i="12"/>
  <c r="F186" i="12"/>
  <c r="F185" i="12"/>
  <c r="F170" i="12"/>
  <c r="F169" i="12"/>
  <c r="F213" i="12"/>
  <c r="F209" i="12"/>
  <c r="F193" i="12"/>
  <c r="F192" i="12"/>
  <c r="F177" i="12"/>
  <c r="F176" i="12"/>
  <c r="F161" i="12"/>
  <c r="F231" i="12"/>
  <c r="F222" i="12"/>
  <c r="F221" i="12"/>
  <c r="F214" i="12"/>
  <c r="F210" i="12"/>
  <c r="F194" i="12"/>
  <c r="F220" i="12"/>
  <c r="F196" i="12"/>
  <c r="F167" i="12"/>
  <c r="F152" i="12"/>
  <c r="F151" i="12"/>
  <c r="F136" i="12"/>
  <c r="F132" i="12"/>
  <c r="F128" i="12"/>
  <c r="F127" i="12"/>
  <c r="F208" i="12"/>
  <c r="F172" i="12"/>
  <c r="F126" i="12"/>
  <c r="F119" i="12"/>
  <c r="F115" i="12"/>
  <c r="F111" i="12"/>
  <c r="F107" i="12"/>
  <c r="F103" i="12"/>
  <c r="F99" i="12"/>
  <c r="F95" i="12"/>
  <c r="F91" i="12"/>
  <c r="F87" i="12"/>
  <c r="F83" i="12"/>
  <c r="F230" i="12"/>
  <c r="F199" i="12"/>
  <c r="F179" i="12"/>
  <c r="F159" i="12"/>
  <c r="F146" i="12"/>
  <c r="F142" i="12"/>
  <c r="D124" i="12"/>
  <c r="F228" i="12"/>
  <c r="F216" i="12"/>
  <c r="F212" i="12"/>
  <c r="F189" i="12"/>
  <c r="F162" i="12"/>
  <c r="F153" i="12"/>
  <c r="F137" i="12"/>
  <c r="F133" i="12"/>
  <c r="F129" i="12"/>
  <c r="F204" i="12"/>
  <c r="F184" i="12"/>
  <c r="F120" i="12"/>
  <c r="F116" i="12"/>
  <c r="F112" i="12"/>
  <c r="F108" i="12"/>
  <c r="F104" i="12"/>
  <c r="F100" i="12"/>
  <c r="F96" i="12"/>
  <c r="F92" i="12"/>
  <c r="F88" i="12"/>
  <c r="F84" i="12"/>
  <c r="F187" i="12"/>
  <c r="F173" i="12"/>
  <c r="F155" i="12"/>
  <c r="F154" i="12"/>
  <c r="F147" i="12"/>
  <c r="F143" i="12"/>
  <c r="F139" i="12"/>
  <c r="F138" i="12"/>
  <c r="F168" i="12"/>
  <c r="F160" i="12"/>
  <c r="F134" i="12"/>
  <c r="F130" i="12"/>
  <c r="L12" i="12"/>
  <c r="N12" i="12" s="1"/>
  <c r="F232" i="12"/>
  <c r="F229" i="12"/>
  <c r="F219" i="12"/>
  <c r="F180" i="12"/>
  <c r="F163" i="12"/>
  <c r="F157" i="12"/>
  <c r="F156" i="12"/>
  <c r="F121" i="12"/>
  <c r="F117" i="12"/>
  <c r="F113" i="12"/>
  <c r="F109" i="12"/>
  <c r="F105" i="12"/>
  <c r="F101" i="12"/>
  <c r="F97" i="12"/>
  <c r="F93" i="12"/>
  <c r="F89" i="12"/>
  <c r="F85" i="12"/>
  <c r="F188" i="12"/>
  <c r="F183" i="12"/>
  <c r="F150" i="12"/>
  <c r="F149" i="12"/>
  <c r="F122" i="12"/>
  <c r="F118" i="12"/>
  <c r="F114" i="12"/>
  <c r="F110" i="12"/>
  <c r="F106" i="12"/>
  <c r="F102" i="12"/>
  <c r="F98" i="12"/>
  <c r="F94" i="12"/>
  <c r="F90" i="12"/>
  <c r="F86" i="12"/>
  <c r="F82" i="12"/>
  <c r="F81" i="12"/>
  <c r="F224" i="12"/>
  <c r="F203" i="12"/>
  <c r="F201" i="12"/>
  <c r="F181" i="12"/>
  <c r="F145" i="12"/>
  <c r="F141" i="12"/>
  <c r="F148" i="12"/>
  <c r="F205" i="12"/>
  <c r="F140" i="12"/>
  <c r="F178" i="12"/>
  <c r="F131" i="12"/>
  <c r="F144" i="12"/>
  <c r="F135" i="12"/>
  <c r="F217" i="12"/>
  <c r="F171" i="12"/>
  <c r="H27" i="44"/>
  <c r="N18" i="44"/>
  <c r="L18" i="41"/>
  <c r="D27" i="41"/>
  <c r="D91" i="92"/>
  <c r="L23" i="92"/>
  <c r="N23" i="92" s="1"/>
  <c r="D86" i="95"/>
  <c r="L19" i="95"/>
  <c r="F89" i="94"/>
  <c r="F88" i="94"/>
  <c r="F75" i="94"/>
  <c r="F63" i="94"/>
  <c r="F62" i="94"/>
  <c r="F51" i="94"/>
  <c r="F50" i="94"/>
  <c r="F35" i="94"/>
  <c r="F31" i="94"/>
  <c r="F27" i="94"/>
  <c r="F26" i="94"/>
  <c r="F70" i="94"/>
  <c r="F85" i="94"/>
  <c r="F77" i="94"/>
  <c r="F76" i="94"/>
  <c r="F65" i="94"/>
  <c r="F64" i="94"/>
  <c r="F53" i="94"/>
  <c r="F52" i="94"/>
  <c r="F45" i="94"/>
  <c r="F41" i="94"/>
  <c r="F94" i="94"/>
  <c r="F82" i="94"/>
  <c r="F72" i="94"/>
  <c r="F71" i="94"/>
  <c r="F79" i="94"/>
  <c r="F78" i="94"/>
  <c r="F67" i="94"/>
  <c r="F66" i="94"/>
  <c r="F55" i="94"/>
  <c r="F54" i="94"/>
  <c r="F98" i="94"/>
  <c r="F91" i="94"/>
  <c r="F74" i="94"/>
  <c r="F92" i="94"/>
  <c r="F87" i="94"/>
  <c r="F84" i="94"/>
  <c r="F69" i="94"/>
  <c r="F61" i="94"/>
  <c r="F60" i="94"/>
  <c r="F49" i="94"/>
  <c r="F48" i="94"/>
  <c r="F21" i="94"/>
  <c r="F81" i="94"/>
  <c r="F56" i="94"/>
  <c r="F36" i="94"/>
  <c r="F33" i="94"/>
  <c r="F39" i="94"/>
  <c r="F28" i="94"/>
  <c r="F83" i="94"/>
  <c r="F46" i="94"/>
  <c r="F68" i="94"/>
  <c r="F44" i="94"/>
  <c r="F42" i="94"/>
  <c r="F18" i="94"/>
  <c r="F80" i="94"/>
  <c r="F59" i="94"/>
  <c r="F34" i="94"/>
  <c r="F40" i="94"/>
  <c r="F37" i="94"/>
  <c r="D23" i="94"/>
  <c r="F19" i="94"/>
  <c r="F86" i="94"/>
  <c r="F47" i="94"/>
  <c r="F29" i="94"/>
  <c r="L12" i="94"/>
  <c r="N12" i="94" s="1"/>
  <c r="F25" i="94"/>
  <c r="F57" i="94"/>
  <c r="F32" i="94"/>
  <c r="F30" i="94"/>
  <c r="F43" i="94"/>
  <c r="F90" i="94"/>
  <c r="F73" i="94"/>
  <c r="F58" i="94"/>
  <c r="F38" i="94"/>
  <c r="F20" i="94"/>
  <c r="H103" i="85"/>
  <c r="L16" i="80"/>
  <c r="D32" i="80"/>
  <c r="H32" i="80"/>
  <c r="N16" i="80"/>
  <c r="T60" i="88"/>
  <c r="T122" i="77"/>
  <c r="H74" i="67"/>
  <c r="J23" i="67"/>
  <c r="D100" i="62"/>
  <c r="L16" i="62"/>
  <c r="T64" i="61"/>
  <c r="Z17" i="48"/>
  <c r="T73" i="48"/>
  <c r="H124" i="42"/>
  <c r="T120" i="42"/>
  <c r="D127" i="39"/>
  <c r="L31" i="39"/>
  <c r="N31" i="39" s="1"/>
  <c r="R27" i="36"/>
  <c r="L25" i="42"/>
  <c r="N25" i="42" s="1"/>
  <c r="D120" i="42"/>
  <c r="N27" i="36"/>
  <c r="H127" i="36"/>
  <c r="J27" i="36"/>
  <c r="V38" i="24"/>
  <c r="T96" i="24"/>
  <c r="T251" i="18"/>
  <c r="F219" i="15"/>
  <c r="F218" i="15"/>
  <c r="F211" i="15"/>
  <c r="F195" i="15"/>
  <c r="F131" i="15"/>
  <c r="F127" i="15"/>
  <c r="F206" i="15"/>
  <c r="F202" i="15"/>
  <c r="F190" i="15"/>
  <c r="F178" i="15"/>
  <c r="F177" i="15"/>
  <c r="F170" i="15"/>
  <c r="F162" i="15"/>
  <c r="F161" i="15"/>
  <c r="F154" i="15"/>
  <c r="F146" i="15"/>
  <c r="F145" i="15"/>
  <c r="F118" i="15"/>
  <c r="F114" i="15"/>
  <c r="F110" i="15"/>
  <c r="F106" i="15"/>
  <c r="F102" i="15"/>
  <c r="F98" i="15"/>
  <c r="F94" i="15"/>
  <c r="F90" i="15"/>
  <c r="F86" i="15"/>
  <c r="F82" i="15"/>
  <c r="L12" i="15"/>
  <c r="N12" i="15" s="1"/>
  <c r="F222" i="15"/>
  <c r="F213" i="15"/>
  <c r="F212" i="15"/>
  <c r="F197" i="15"/>
  <c r="F196" i="15"/>
  <c r="F185" i="15"/>
  <c r="F141" i="15"/>
  <c r="F137" i="15"/>
  <c r="F223" i="15"/>
  <c r="F221" i="15"/>
  <c r="F192" i="15"/>
  <c r="F191" i="15"/>
  <c r="F180" i="15"/>
  <c r="F179" i="15"/>
  <c r="F164" i="15"/>
  <c r="F163" i="15"/>
  <c r="F156" i="15"/>
  <c r="F155" i="15"/>
  <c r="F148" i="15"/>
  <c r="F147" i="15"/>
  <c r="F132" i="15"/>
  <c r="F128" i="15"/>
  <c r="F124" i="15"/>
  <c r="F123" i="15"/>
  <c r="F224" i="15"/>
  <c r="F215" i="15"/>
  <c r="F214" i="15"/>
  <c r="F207" i="15"/>
  <c r="F203" i="15"/>
  <c r="F187" i="15"/>
  <c r="F186" i="15"/>
  <c r="F171" i="15"/>
  <c r="F225" i="15"/>
  <c r="F198" i="15"/>
  <c r="F182" i="15"/>
  <c r="F181" i="15"/>
  <c r="F166" i="15"/>
  <c r="F165" i="15"/>
  <c r="F142" i="15"/>
  <c r="F138" i="15"/>
  <c r="D120" i="15"/>
  <c r="F193" i="15"/>
  <c r="F173" i="15"/>
  <c r="F172" i="15"/>
  <c r="F157" i="15"/>
  <c r="F149" i="15"/>
  <c r="F133" i="15"/>
  <c r="F129" i="15"/>
  <c r="F125" i="15"/>
  <c r="F216" i="15"/>
  <c r="F208" i="15"/>
  <c r="F204" i="15"/>
  <c r="F200" i="15"/>
  <c r="F199" i="15"/>
  <c r="F188" i="15"/>
  <c r="F116" i="15"/>
  <c r="F112" i="15"/>
  <c r="F108" i="15"/>
  <c r="F104" i="15"/>
  <c r="F100" i="15"/>
  <c r="F96" i="15"/>
  <c r="F92" i="15"/>
  <c r="F88" i="15"/>
  <c r="F84" i="15"/>
  <c r="F80" i="15"/>
  <c r="F79" i="15"/>
  <c r="F217" i="15"/>
  <c r="F205" i="15"/>
  <c r="F201" i="15"/>
  <c r="F189" i="15"/>
  <c r="F169" i="15"/>
  <c r="F168" i="15"/>
  <c r="F153" i="15"/>
  <c r="F152" i="15"/>
  <c r="F117" i="15"/>
  <c r="F113" i="15"/>
  <c r="F109" i="15"/>
  <c r="F105" i="15"/>
  <c r="F101" i="15"/>
  <c r="F97" i="15"/>
  <c r="F93" i="15"/>
  <c r="F89" i="15"/>
  <c r="F85" i="15"/>
  <c r="F81" i="15"/>
  <c r="F167" i="15"/>
  <c r="F139" i="15"/>
  <c r="F107" i="15"/>
  <c r="F184" i="15"/>
  <c r="F122" i="15"/>
  <c r="F87" i="15"/>
  <c r="F159" i="15"/>
  <c r="F151" i="15"/>
  <c r="F134" i="15"/>
  <c r="F103" i="15"/>
  <c r="F143" i="15"/>
  <c r="F136" i="15"/>
  <c r="F130" i="15"/>
  <c r="F126" i="15"/>
  <c r="F210" i="15"/>
  <c r="F174" i="15"/>
  <c r="F99" i="15"/>
  <c r="F83" i="15"/>
  <c r="F229" i="15"/>
  <c r="F176" i="15"/>
  <c r="F140" i="15"/>
  <c r="F209" i="15"/>
  <c r="F175" i="15"/>
  <c r="F111" i="15"/>
  <c r="F91" i="15"/>
  <c r="F194" i="15"/>
  <c r="F95" i="15"/>
  <c r="F135" i="15"/>
  <c r="F160" i="15"/>
  <c r="F158" i="15"/>
  <c r="F183" i="15"/>
  <c r="F144" i="15"/>
  <c r="F115" i="15"/>
  <c r="F150" i="15"/>
  <c r="R261" i="3"/>
  <c r="T27" i="99"/>
  <c r="Z18" i="99"/>
  <c r="H27" i="49"/>
  <c r="N18" i="49"/>
  <c r="L18" i="37"/>
  <c r="D27" i="37"/>
  <c r="X18" i="35"/>
  <c r="P27" i="35"/>
  <c r="T27" i="37"/>
  <c r="Z18" i="37"/>
  <c r="H27" i="34"/>
  <c r="N18" i="34"/>
  <c r="T27" i="26"/>
  <c r="Z18" i="26"/>
  <c r="T27" i="29"/>
  <c r="Z18" i="29"/>
  <c r="X18" i="20"/>
  <c r="P27" i="20"/>
  <c r="X18" i="28"/>
  <c r="P27" i="28"/>
  <c r="T27" i="11"/>
  <c r="Z18" i="11"/>
  <c r="L18" i="14"/>
  <c r="D27" i="14"/>
  <c r="D24" i="96"/>
  <c r="L16" i="96"/>
  <c r="X16" i="91"/>
  <c r="P58" i="91"/>
  <c r="X19" i="83"/>
  <c r="P80" i="83"/>
  <c r="F35" i="67"/>
  <c r="F31" i="67"/>
  <c r="F27" i="67"/>
  <c r="F26" i="67"/>
  <c r="F70" i="67"/>
  <c r="F69" i="67"/>
  <c r="F62" i="67"/>
  <c r="F54" i="67"/>
  <c r="F53" i="67"/>
  <c r="F25" i="67"/>
  <c r="F23" i="67"/>
  <c r="L12" i="67"/>
  <c r="N12" i="67" s="1"/>
  <c r="F45" i="67"/>
  <c r="F41" i="67"/>
  <c r="F37" i="67"/>
  <c r="F36" i="67"/>
  <c r="D23" i="67"/>
  <c r="F56" i="67"/>
  <c r="F55" i="67"/>
  <c r="F32" i="67"/>
  <c r="F28" i="67"/>
  <c r="F76" i="67"/>
  <c r="F46" i="67"/>
  <c r="F42" i="67"/>
  <c r="F38" i="67"/>
  <c r="F81" i="67"/>
  <c r="F78" i="67"/>
  <c r="F59" i="67"/>
  <c r="F58" i="67"/>
  <c r="F43" i="67"/>
  <c r="F39" i="67"/>
  <c r="F61" i="67"/>
  <c r="F60" i="67"/>
  <c r="F21" i="67"/>
  <c r="F72" i="67"/>
  <c r="F52" i="67"/>
  <c r="F44" i="67"/>
  <c r="F68" i="67"/>
  <c r="F20" i="67"/>
  <c r="F63" i="67"/>
  <c r="F50" i="67"/>
  <c r="F33" i="67"/>
  <c r="F29" i="67"/>
  <c r="F47" i="67"/>
  <c r="F40" i="67"/>
  <c r="F66" i="67"/>
  <c r="F57" i="67"/>
  <c r="F51" i="67"/>
  <c r="F65" i="67"/>
  <c r="F49" i="67"/>
  <c r="F19" i="67"/>
  <c r="F67" i="67"/>
  <c r="F74" i="67"/>
  <c r="F48" i="67"/>
  <c r="F30" i="67"/>
  <c r="F34" i="67"/>
  <c r="F64" i="67"/>
  <c r="Z78" i="82"/>
  <c r="T82" i="82"/>
  <c r="J86" i="70"/>
  <c r="L17" i="57"/>
  <c r="D74" i="57"/>
  <c r="X18" i="8"/>
  <c r="P27" i="8"/>
  <c r="R85" i="94"/>
  <c r="R81" i="94"/>
  <c r="R94" i="94"/>
  <c r="R79" i="94"/>
  <c r="R67" i="94"/>
  <c r="R56" i="94"/>
  <c r="R55" i="94"/>
  <c r="R19" i="94"/>
  <c r="R46" i="94"/>
  <c r="R42" i="94"/>
  <c r="R38" i="94"/>
  <c r="R86" i="94"/>
  <c r="R73" i="94"/>
  <c r="R58" i="94"/>
  <c r="R57" i="94"/>
  <c r="R33" i="94"/>
  <c r="R29" i="94"/>
  <c r="R90" i="94"/>
  <c r="R83" i="94"/>
  <c r="R68" i="94"/>
  <c r="R98" i="94"/>
  <c r="R91" i="94"/>
  <c r="R80" i="94"/>
  <c r="R60" i="94"/>
  <c r="R59" i="94"/>
  <c r="R48" i="94"/>
  <c r="R47" i="94"/>
  <c r="R43" i="94"/>
  <c r="R39" i="94"/>
  <c r="R74" i="94"/>
  <c r="R76" i="94"/>
  <c r="R75" i="94"/>
  <c r="R71" i="94"/>
  <c r="R70" i="94"/>
  <c r="R78" i="94"/>
  <c r="R77" i="94"/>
  <c r="R66" i="94"/>
  <c r="R65" i="94"/>
  <c r="R54" i="94"/>
  <c r="R53" i="94"/>
  <c r="R45" i="94"/>
  <c r="R41" i="94"/>
  <c r="R18" i="94"/>
  <c r="R44" i="94"/>
  <c r="R34" i="94"/>
  <c r="R31" i="94"/>
  <c r="R89" i="94"/>
  <c r="R87" i="94"/>
  <c r="R72" i="94"/>
  <c r="R61" i="94"/>
  <c r="R37" i="94"/>
  <c r="R25" i="94"/>
  <c r="P23" i="94"/>
  <c r="R64" i="94"/>
  <c r="R52" i="94"/>
  <c r="R49" i="94"/>
  <c r="R40" i="94"/>
  <c r="R26" i="94"/>
  <c r="R62" i="94"/>
  <c r="R32" i="94"/>
  <c r="R88" i="94"/>
  <c r="R84" i="94"/>
  <c r="R82" i="94"/>
  <c r="R50" i="94"/>
  <c r="R35" i="94"/>
  <c r="R20" i="94"/>
  <c r="R63" i="94"/>
  <c r="R36" i="94"/>
  <c r="R30" i="94"/>
  <c r="R51" i="94"/>
  <c r="R28" i="94"/>
  <c r="R69" i="94"/>
  <c r="R92" i="94"/>
  <c r="R27" i="94"/>
  <c r="R21" i="94"/>
  <c r="X12" i="94"/>
  <c r="Z12" i="94" s="1"/>
  <c r="T24" i="96"/>
  <c r="Z16" i="96"/>
  <c r="V96" i="94"/>
  <c r="X73" i="97"/>
  <c r="Z73" i="97" s="1"/>
  <c r="R73" i="97"/>
  <c r="P77" i="97"/>
  <c r="H96" i="94"/>
  <c r="X16" i="93"/>
  <c r="P24" i="93"/>
  <c r="T44" i="90"/>
  <c r="T79" i="84"/>
  <c r="Z21" i="84"/>
  <c r="X16" i="80"/>
  <c r="P32" i="80"/>
  <c r="F93" i="85"/>
  <c r="F85" i="85"/>
  <c r="F81" i="85"/>
  <c r="F82" i="85"/>
  <c r="F78" i="85"/>
  <c r="F77" i="85"/>
  <c r="F101" i="85"/>
  <c r="F83" i="85"/>
  <c r="F79" i="85"/>
  <c r="F54" i="85"/>
  <c r="F53" i="85"/>
  <c r="F25" i="85"/>
  <c r="F84" i="85"/>
  <c r="F71" i="85"/>
  <c r="F65" i="85"/>
  <c r="F64" i="85"/>
  <c r="F45" i="85"/>
  <c r="F41" i="85"/>
  <c r="F37" i="85"/>
  <c r="F36" i="85"/>
  <c r="D23" i="85"/>
  <c r="F92" i="85"/>
  <c r="F88" i="85"/>
  <c r="F75" i="85"/>
  <c r="F32" i="85"/>
  <c r="F28" i="85"/>
  <c r="L12" i="85"/>
  <c r="N12" i="85" s="1"/>
  <c r="F97" i="85"/>
  <c r="F76" i="85"/>
  <c r="F67" i="85"/>
  <c r="F66" i="85"/>
  <c r="F55" i="85"/>
  <c r="F19" i="85"/>
  <c r="F18" i="85"/>
  <c r="F72" i="85"/>
  <c r="F46" i="85"/>
  <c r="F42" i="85"/>
  <c r="F38" i="85"/>
  <c r="F57" i="85"/>
  <c r="F56" i="85"/>
  <c r="F33" i="85"/>
  <c r="F29" i="85"/>
  <c r="F94" i="85"/>
  <c r="F73" i="85"/>
  <c r="F50" i="85"/>
  <c r="F49" i="85"/>
  <c r="F34" i="85"/>
  <c r="F30" i="85"/>
  <c r="F87" i="85"/>
  <c r="F52" i="85"/>
  <c r="F51" i="85"/>
  <c r="F44" i="85"/>
  <c r="F40" i="85"/>
  <c r="F69" i="85"/>
  <c r="F62" i="85"/>
  <c r="F95" i="85"/>
  <c r="F91" i="85"/>
  <c r="F47" i="85"/>
  <c r="F27" i="85"/>
  <c r="F60" i="85"/>
  <c r="F43" i="85"/>
  <c r="F39" i="85"/>
  <c r="F21" i="85"/>
  <c r="F89" i="85"/>
  <c r="F70" i="85"/>
  <c r="F80" i="85"/>
  <c r="F63" i="85"/>
  <c r="F31" i="85"/>
  <c r="F90" i="85"/>
  <c r="F86" i="85"/>
  <c r="F20" i="85"/>
  <c r="F61" i="85"/>
  <c r="F59" i="85"/>
  <c r="F26" i="85"/>
  <c r="F48" i="85"/>
  <c r="F35" i="85"/>
  <c r="F74" i="85"/>
  <c r="F68" i="85"/>
  <c r="F58" i="85"/>
  <c r="N19" i="74"/>
  <c r="H70" i="74"/>
  <c r="R96" i="71"/>
  <c r="R95" i="71"/>
  <c r="R71" i="71"/>
  <c r="R67" i="71"/>
  <c r="R63" i="71"/>
  <c r="R32" i="71"/>
  <c r="R91" i="71"/>
  <c r="R90" i="71"/>
  <c r="R82" i="71"/>
  <c r="R58" i="71"/>
  <c r="R54" i="71"/>
  <c r="R98" i="71"/>
  <c r="R97" i="71"/>
  <c r="R45" i="71"/>
  <c r="R41" i="71"/>
  <c r="R37" i="71"/>
  <c r="R33" i="71"/>
  <c r="R102" i="71"/>
  <c r="R101" i="71"/>
  <c r="R75" i="71"/>
  <c r="R74" i="71"/>
  <c r="R88" i="71"/>
  <c r="R87" i="71"/>
  <c r="R43" i="71"/>
  <c r="R39" i="71"/>
  <c r="R35" i="71"/>
  <c r="R89" i="71"/>
  <c r="R62" i="71"/>
  <c r="R61" i="71"/>
  <c r="R57" i="71"/>
  <c r="R53" i="71"/>
  <c r="R66" i="71"/>
  <c r="R64" i="71"/>
  <c r="R44" i="71"/>
  <c r="R93" i="71"/>
  <c r="R69" i="71"/>
  <c r="R52" i="71"/>
  <c r="R34" i="71"/>
  <c r="R59" i="71"/>
  <c r="X12" i="71"/>
  <c r="Z12" i="71" s="1"/>
  <c r="R86" i="71"/>
  <c r="R83" i="71"/>
  <c r="R78" i="71"/>
  <c r="R72" i="71"/>
  <c r="R48" i="71"/>
  <c r="R42" i="71"/>
  <c r="R81" i="71"/>
  <c r="P48" i="71"/>
  <c r="R103" i="71"/>
  <c r="R99" i="71"/>
  <c r="R84" i="71"/>
  <c r="R73" i="71"/>
  <c r="R40" i="71"/>
  <c r="R94" i="71"/>
  <c r="R92" i="71"/>
  <c r="R68" i="71"/>
  <c r="R38" i="71"/>
  <c r="R107" i="71"/>
  <c r="R46" i="71"/>
  <c r="R36" i="71"/>
  <c r="R80" i="71"/>
  <c r="R60" i="71"/>
  <c r="R76" i="71"/>
  <c r="R55" i="71"/>
  <c r="R79" i="71"/>
  <c r="R77" i="71"/>
  <c r="R65" i="71"/>
  <c r="R50" i="71"/>
  <c r="R85" i="71"/>
  <c r="R70" i="71"/>
  <c r="R56" i="71"/>
  <c r="R51" i="71"/>
  <c r="H92" i="64"/>
  <c r="J35" i="64"/>
  <c r="T81" i="67"/>
  <c r="H62" i="60"/>
  <c r="D60" i="61"/>
  <c r="L16" i="61"/>
  <c r="T22" i="54"/>
  <c r="Z16" i="54"/>
  <c r="F114" i="42"/>
  <c r="R116" i="27"/>
  <c r="R115" i="27"/>
  <c r="R76" i="27"/>
  <c r="R72" i="27"/>
  <c r="R57" i="27"/>
  <c r="R37" i="27"/>
  <c r="R117" i="27"/>
  <c r="R100" i="27"/>
  <c r="R99" i="27"/>
  <c r="R92" i="27"/>
  <c r="R91" i="27"/>
  <c r="R83" i="27"/>
  <c r="R67" i="27"/>
  <c r="R63" i="27"/>
  <c r="R59" i="27"/>
  <c r="P55" i="27"/>
  <c r="R55" i="27" s="1"/>
  <c r="R118" i="27"/>
  <c r="R107" i="27"/>
  <c r="R106" i="27"/>
  <c r="R50" i="27"/>
  <c r="R46" i="27"/>
  <c r="R42" i="27"/>
  <c r="R38" i="27"/>
  <c r="X12" i="27"/>
  <c r="Z12" i="27" s="1"/>
  <c r="R101" i="27"/>
  <c r="R93" i="27"/>
  <c r="R77" i="27"/>
  <c r="R73" i="27"/>
  <c r="R108" i="27"/>
  <c r="R85" i="27"/>
  <c r="R84" i="27"/>
  <c r="R69" i="27"/>
  <c r="R68" i="27"/>
  <c r="R64" i="27"/>
  <c r="R60" i="27"/>
  <c r="R51" i="27"/>
  <c r="R47" i="27"/>
  <c r="R43" i="27"/>
  <c r="R39" i="27"/>
  <c r="R122" i="27"/>
  <c r="R103" i="27"/>
  <c r="R102" i="27"/>
  <c r="R95" i="27"/>
  <c r="R94" i="27"/>
  <c r="R87" i="27"/>
  <c r="R86" i="27"/>
  <c r="R78" i="27"/>
  <c r="R74" i="27"/>
  <c r="R70" i="27"/>
  <c r="R110" i="27"/>
  <c r="R109" i="27"/>
  <c r="R65" i="27"/>
  <c r="R61" i="27"/>
  <c r="R104" i="27"/>
  <c r="R97" i="27"/>
  <c r="R96" i="27"/>
  <c r="R89" i="27"/>
  <c r="R88" i="27"/>
  <c r="R52" i="27"/>
  <c r="R48" i="27"/>
  <c r="R44" i="27"/>
  <c r="R40" i="27"/>
  <c r="R98" i="27"/>
  <c r="R90" i="27"/>
  <c r="R66" i="27"/>
  <c r="R62" i="27"/>
  <c r="R58" i="27"/>
  <c r="R113" i="27"/>
  <c r="R75" i="27"/>
  <c r="R41" i="27"/>
  <c r="R81" i="27"/>
  <c r="R45" i="27"/>
  <c r="R111" i="27"/>
  <c r="R79" i="27"/>
  <c r="R49" i="27"/>
  <c r="R53" i="27"/>
  <c r="R112" i="27"/>
  <c r="R82" i="27"/>
  <c r="R80" i="27"/>
  <c r="R105" i="27"/>
  <c r="R71" i="27"/>
  <c r="H127" i="39"/>
  <c r="J31" i="39"/>
  <c r="F111" i="21"/>
  <c r="F93" i="21"/>
  <c r="F81" i="21"/>
  <c r="F65" i="21"/>
  <c r="F64" i="21"/>
  <c r="F25" i="21"/>
  <c r="F88" i="21"/>
  <c r="F87" i="21"/>
  <c r="F76" i="21"/>
  <c r="F56" i="21"/>
  <c r="F55" i="21"/>
  <c r="F48" i="21"/>
  <c r="F44" i="21"/>
  <c r="F99" i="21"/>
  <c r="F83" i="21"/>
  <c r="F82" i="21"/>
  <c r="F67" i="21"/>
  <c r="F66" i="21"/>
  <c r="F39" i="21"/>
  <c r="F35" i="21"/>
  <c r="F31" i="21"/>
  <c r="F30" i="21"/>
  <c r="F101" i="21"/>
  <c r="F100" i="21"/>
  <c r="F77" i="21"/>
  <c r="F69" i="21"/>
  <c r="F68" i="21"/>
  <c r="F49" i="21"/>
  <c r="F45" i="21"/>
  <c r="F41" i="21"/>
  <c r="F40" i="21"/>
  <c r="D27" i="21"/>
  <c r="F84" i="21"/>
  <c r="F36" i="21"/>
  <c r="F32" i="21"/>
  <c r="F103" i="21"/>
  <c r="F102" i="21"/>
  <c r="F95" i="21"/>
  <c r="F91" i="21"/>
  <c r="F71" i="21"/>
  <c r="F70" i="21"/>
  <c r="F78" i="21"/>
  <c r="F50" i="21"/>
  <c r="F46" i="21"/>
  <c r="F42" i="21"/>
  <c r="F75" i="21"/>
  <c r="F74" i="21"/>
  <c r="F63" i="21"/>
  <c r="F62" i="21"/>
  <c r="F47" i="21"/>
  <c r="F43" i="21"/>
  <c r="F97" i="21"/>
  <c r="F52" i="21"/>
  <c r="F86" i="21"/>
  <c r="F60" i="21"/>
  <c r="F37" i="21"/>
  <c r="F104" i="21"/>
  <c r="F89" i="21"/>
  <c r="F58" i="21"/>
  <c r="F107" i="21"/>
  <c r="F98" i="21"/>
  <c r="F27" i="21"/>
  <c r="F79" i="21"/>
  <c r="F53" i="21"/>
  <c r="F34" i="21"/>
  <c r="F24" i="21"/>
  <c r="F85" i="21"/>
  <c r="F72" i="21"/>
  <c r="F61" i="21"/>
  <c r="F96" i="21"/>
  <c r="F94" i="21"/>
  <c r="F22" i="21"/>
  <c r="F80" i="21"/>
  <c r="F33" i="21"/>
  <c r="F29" i="21"/>
  <c r="F90" i="21"/>
  <c r="F105" i="21"/>
  <c r="F92" i="21"/>
  <c r="F23" i="21"/>
  <c r="F57" i="21"/>
  <c r="F59" i="21"/>
  <c r="F51" i="21"/>
  <c r="F38" i="21"/>
  <c r="F73" i="21"/>
  <c r="F54" i="21"/>
  <c r="L12" i="21"/>
  <c r="N12" i="21" s="1"/>
  <c r="R102" i="21"/>
  <c r="R101" i="21"/>
  <c r="R77" i="21"/>
  <c r="R70" i="21"/>
  <c r="R69" i="21"/>
  <c r="R49" i="21"/>
  <c r="R45" i="21"/>
  <c r="R41" i="21"/>
  <c r="R22" i="21"/>
  <c r="R84" i="21"/>
  <c r="R36" i="21"/>
  <c r="R32" i="21"/>
  <c r="R104" i="21"/>
  <c r="R103" i="21"/>
  <c r="R95" i="21"/>
  <c r="R91" i="21"/>
  <c r="R72" i="21"/>
  <c r="R71" i="21"/>
  <c r="R60" i="21"/>
  <c r="R59" i="21"/>
  <c r="R23" i="21"/>
  <c r="R105" i="21"/>
  <c r="R85" i="21"/>
  <c r="R74" i="21"/>
  <c r="R73" i="21"/>
  <c r="R62" i="21"/>
  <c r="R61" i="21"/>
  <c r="R37" i="21"/>
  <c r="R33" i="21"/>
  <c r="R107" i="21"/>
  <c r="R97" i="21"/>
  <c r="R96" i="21"/>
  <c r="R92" i="21"/>
  <c r="R80" i="21"/>
  <c r="R53" i="21"/>
  <c r="R52" i="21"/>
  <c r="R24" i="21"/>
  <c r="X12" i="21"/>
  <c r="Z12" i="21" s="1"/>
  <c r="R75" i="21"/>
  <c r="R64" i="21"/>
  <c r="R63" i="21"/>
  <c r="R98" i="21"/>
  <c r="R87" i="21"/>
  <c r="R86" i="21"/>
  <c r="R55" i="21"/>
  <c r="R54" i="21"/>
  <c r="R38" i="21"/>
  <c r="R34" i="21"/>
  <c r="R100" i="21"/>
  <c r="R99" i="21"/>
  <c r="R83" i="21"/>
  <c r="R68" i="21"/>
  <c r="R67" i="21"/>
  <c r="R40" i="21"/>
  <c r="R39" i="21"/>
  <c r="R35" i="21"/>
  <c r="R31" i="21"/>
  <c r="P27" i="21"/>
  <c r="R81" i="21"/>
  <c r="R76" i="21"/>
  <c r="R58" i="21"/>
  <c r="R65" i="21"/>
  <c r="R50" i="21"/>
  <c r="R111" i="21"/>
  <c r="R79" i="21"/>
  <c r="R27" i="21"/>
  <c r="R94" i="21"/>
  <c r="R66" i="21"/>
  <c r="R51" i="21"/>
  <c r="R48" i="21"/>
  <c r="R46" i="21"/>
  <c r="R90" i="21"/>
  <c r="R82" i="21"/>
  <c r="R56" i="21"/>
  <c r="R44" i="21"/>
  <c r="R42" i="21"/>
  <c r="R29" i="21"/>
  <c r="R57" i="21"/>
  <c r="R25" i="21"/>
  <c r="R30" i="21"/>
  <c r="R43" i="21"/>
  <c r="R89" i="21"/>
  <c r="R47" i="21"/>
  <c r="R93" i="21"/>
  <c r="R88" i="21"/>
  <c r="R78" i="21"/>
  <c r="H173" i="30"/>
  <c r="T127" i="39"/>
  <c r="Z31" i="39"/>
  <c r="R225" i="15"/>
  <c r="R215" i="15"/>
  <c r="R207" i="15"/>
  <c r="R203" i="15"/>
  <c r="R187" i="15"/>
  <c r="R172" i="15"/>
  <c r="R171" i="15"/>
  <c r="R115" i="15"/>
  <c r="R111" i="15"/>
  <c r="R107" i="15"/>
  <c r="R103" i="15"/>
  <c r="R99" i="15"/>
  <c r="R95" i="15"/>
  <c r="R91" i="15"/>
  <c r="R87" i="15"/>
  <c r="R83" i="15"/>
  <c r="R199" i="15"/>
  <c r="R198" i="15"/>
  <c r="R182" i="15"/>
  <c r="R166" i="15"/>
  <c r="R142" i="15"/>
  <c r="R138" i="15"/>
  <c r="R79" i="15"/>
  <c r="R193" i="15"/>
  <c r="R174" i="15"/>
  <c r="R173" i="15"/>
  <c r="R158" i="15"/>
  <c r="R157" i="15"/>
  <c r="R150" i="15"/>
  <c r="R149" i="15"/>
  <c r="R134" i="15"/>
  <c r="R133" i="15"/>
  <c r="R129" i="15"/>
  <c r="R125" i="15"/>
  <c r="R216" i="15"/>
  <c r="R209" i="15"/>
  <c r="R208" i="15"/>
  <c r="R204" i="15"/>
  <c r="R200" i="15"/>
  <c r="R188" i="15"/>
  <c r="R116" i="15"/>
  <c r="R112" i="15"/>
  <c r="R108" i="15"/>
  <c r="R104" i="15"/>
  <c r="R100" i="15"/>
  <c r="R229" i="15"/>
  <c r="R183" i="15"/>
  <c r="R175" i="15"/>
  <c r="R168" i="15"/>
  <c r="R167" i="15"/>
  <c r="R159" i="15"/>
  <c r="R152" i="15"/>
  <c r="R151" i="15"/>
  <c r="R143" i="15"/>
  <c r="R139" i="15"/>
  <c r="R135" i="15"/>
  <c r="R210" i="15"/>
  <c r="R194" i="15"/>
  <c r="R130" i="15"/>
  <c r="R126" i="15"/>
  <c r="R218" i="15"/>
  <c r="R217" i="15"/>
  <c r="R205" i="15"/>
  <c r="R201" i="15"/>
  <c r="R189" i="15"/>
  <c r="R169" i="15"/>
  <c r="R153" i="15"/>
  <c r="R117" i="15"/>
  <c r="R113" i="15"/>
  <c r="R109" i="15"/>
  <c r="R105" i="15"/>
  <c r="R101" i="15"/>
  <c r="R97" i="15"/>
  <c r="R93" i="15"/>
  <c r="R89" i="15"/>
  <c r="R85" i="15"/>
  <c r="R81" i="15"/>
  <c r="R184" i="15"/>
  <c r="R177" i="15"/>
  <c r="R176" i="15"/>
  <c r="R161" i="15"/>
  <c r="R160" i="15"/>
  <c r="R145" i="15"/>
  <c r="R144" i="15"/>
  <c r="R140" i="15"/>
  <c r="R136" i="15"/>
  <c r="R223" i="15"/>
  <c r="R214" i="15"/>
  <c r="R213" i="15"/>
  <c r="R197" i="15"/>
  <c r="R186" i="15"/>
  <c r="R185" i="15"/>
  <c r="R141" i="15"/>
  <c r="R137" i="15"/>
  <c r="R122" i="15"/>
  <c r="R120" i="15"/>
  <c r="R212" i="15"/>
  <c r="R155" i="15"/>
  <c r="R132" i="15"/>
  <c r="R124" i="15"/>
  <c r="R118" i="15"/>
  <c r="R180" i="15"/>
  <c r="R128" i="15"/>
  <c r="R94" i="15"/>
  <c r="R92" i="15"/>
  <c r="R206" i="15"/>
  <c r="R114" i="15"/>
  <c r="R221" i="15"/>
  <c r="R178" i="15"/>
  <c r="R196" i="15"/>
  <c r="R164" i="15"/>
  <c r="R123" i="15"/>
  <c r="R110" i="15"/>
  <c r="R90" i="15"/>
  <c r="R88" i="15"/>
  <c r="R131" i="15"/>
  <c r="R192" i="15"/>
  <c r="R181" i="15"/>
  <c r="R179" i="15"/>
  <c r="R170" i="15"/>
  <c r="R162" i="15"/>
  <c r="R148" i="15"/>
  <c r="R127" i="15"/>
  <c r="P120" i="15"/>
  <c r="R106" i="15"/>
  <c r="R211" i="15"/>
  <c r="R190" i="15"/>
  <c r="R156" i="15"/>
  <c r="R146" i="15"/>
  <c r="R86" i="15"/>
  <c r="R84" i="15"/>
  <c r="R202" i="15"/>
  <c r="R191" i="15"/>
  <c r="R147" i="15"/>
  <c r="R98" i="15"/>
  <c r="R96" i="15"/>
  <c r="R82" i="15"/>
  <c r="R195" i="15"/>
  <c r="R154" i="15"/>
  <c r="R224" i="15"/>
  <c r="R222" i="15"/>
  <c r="R165" i="15"/>
  <c r="R102" i="15"/>
  <c r="R80" i="15"/>
  <c r="X12" i="15"/>
  <c r="Z12" i="15" s="1"/>
  <c r="R163" i="15"/>
  <c r="R219" i="15"/>
  <c r="L18" i="98"/>
  <c r="D27" i="98"/>
  <c r="X18" i="99"/>
  <c r="P27" i="99"/>
  <c r="T27" i="98"/>
  <c r="Z18" i="98"/>
  <c r="X18" i="40"/>
  <c r="P27" i="40"/>
  <c r="H27" i="35"/>
  <c r="N18" i="35"/>
  <c r="X18" i="38"/>
  <c r="P27" i="38"/>
  <c r="H27" i="32"/>
  <c r="N18" i="32"/>
  <c r="T27" i="25"/>
  <c r="Z18" i="25"/>
  <c r="T27" i="22"/>
  <c r="Z18" i="22"/>
  <c r="L18" i="16"/>
  <c r="D27" i="16"/>
  <c r="T27" i="13"/>
  <c r="Z18" i="13"/>
  <c r="X18" i="10"/>
  <c r="P27" i="10"/>
  <c r="T27" i="20"/>
  <c r="Z18" i="20"/>
  <c r="H27" i="8"/>
  <c r="N18" i="8"/>
  <c r="D27" i="17"/>
  <c r="L18" i="17"/>
  <c r="F56" i="65"/>
  <c r="F48" i="65"/>
  <c r="F47" i="65"/>
  <c r="F16" i="65"/>
  <c r="F15" i="65"/>
  <c r="F66" i="65"/>
  <c r="F64" i="65"/>
  <c r="F39" i="65"/>
  <c r="F35" i="65"/>
  <c r="F31" i="65"/>
  <c r="F30" i="65"/>
  <c r="F68" i="65"/>
  <c r="F58" i="65"/>
  <c r="F57" i="65"/>
  <c r="F50" i="65"/>
  <c r="F49" i="65"/>
  <c r="F26" i="65"/>
  <c r="F22" i="65"/>
  <c r="F21" i="65"/>
  <c r="L12" i="65"/>
  <c r="F73" i="65"/>
  <c r="F70" i="65"/>
  <c r="F59" i="65"/>
  <c r="F60" i="65"/>
  <c r="F44" i="65"/>
  <c r="F43" i="65"/>
  <c r="F28" i="65"/>
  <c r="F24" i="65"/>
  <c r="F62" i="65"/>
  <c r="F61" i="65"/>
  <c r="F46" i="65"/>
  <c r="F45" i="65"/>
  <c r="F41" i="65"/>
  <c r="F20" i="65"/>
  <c r="F33" i="65"/>
  <c r="F53" i="65"/>
  <c r="F27" i="65"/>
  <c r="F42" i="65"/>
  <c r="F36" i="65"/>
  <c r="F54" i="65"/>
  <c r="F51" i="65"/>
  <c r="F34" i="65"/>
  <c r="F18" i="65"/>
  <c r="F52" i="65"/>
  <c r="F38" i="65"/>
  <c r="F29" i="65"/>
  <c r="F25" i="65"/>
  <c r="F23" i="65"/>
  <c r="F40" i="65"/>
  <c r="F32" i="65"/>
  <c r="D18" i="65"/>
  <c r="F55" i="65"/>
  <c r="F37" i="65"/>
  <c r="H24" i="96"/>
  <c r="N16" i="96"/>
  <c r="N19" i="95"/>
  <c r="H86" i="95"/>
  <c r="H56" i="88"/>
  <c r="N16" i="88"/>
  <c r="D40" i="90"/>
  <c r="L17" i="90"/>
  <c r="J99" i="85"/>
  <c r="T62" i="91"/>
  <c r="P79" i="84"/>
  <c r="X21" i="84"/>
  <c r="R21" i="84"/>
  <c r="Z21" i="76"/>
  <c r="T90" i="76"/>
  <c r="L22" i="73"/>
  <c r="N22" i="73" s="1"/>
  <c r="D79" i="73"/>
  <c r="P91" i="79"/>
  <c r="X20" i="79"/>
  <c r="R124" i="69"/>
  <c r="R105" i="69"/>
  <c r="R104" i="69"/>
  <c r="R134" i="69"/>
  <c r="R123" i="69"/>
  <c r="R122" i="69"/>
  <c r="R119" i="69"/>
  <c r="R115" i="69"/>
  <c r="R110" i="69"/>
  <c r="R90" i="69"/>
  <c r="R89" i="69"/>
  <c r="R85" i="69"/>
  <c r="R81" i="69"/>
  <c r="P77" i="69"/>
  <c r="R147" i="69"/>
  <c r="R142" i="69"/>
  <c r="R137" i="69"/>
  <c r="R128" i="69"/>
  <c r="R116" i="69"/>
  <c r="R111" i="69"/>
  <c r="R99" i="69"/>
  <c r="R95" i="69"/>
  <c r="R91" i="69"/>
  <c r="R52" i="69"/>
  <c r="R153" i="69"/>
  <c r="R148" i="69"/>
  <c r="R143" i="69"/>
  <c r="R132" i="69"/>
  <c r="R125" i="69"/>
  <c r="R73" i="69"/>
  <c r="R69" i="69"/>
  <c r="R65" i="69"/>
  <c r="R140" i="69"/>
  <c r="R133" i="69"/>
  <c r="R130" i="69"/>
  <c r="R109" i="69"/>
  <c r="R103" i="69"/>
  <c r="R97" i="69"/>
  <c r="R93" i="69"/>
  <c r="R136" i="69"/>
  <c r="R118" i="69"/>
  <c r="R114" i="69"/>
  <c r="R127" i="69"/>
  <c r="R106" i="69"/>
  <c r="R98" i="69"/>
  <c r="R84" i="69"/>
  <c r="R74" i="69"/>
  <c r="R146" i="69"/>
  <c r="R138" i="69"/>
  <c r="R107" i="69"/>
  <c r="R101" i="69"/>
  <c r="R96" i="69"/>
  <c r="R79" i="69"/>
  <c r="R63" i="69"/>
  <c r="R60" i="69"/>
  <c r="R53" i="69"/>
  <c r="R87" i="69"/>
  <c r="R82" i="69"/>
  <c r="R66" i="69"/>
  <c r="R121" i="69"/>
  <c r="R112" i="69"/>
  <c r="R94" i="69"/>
  <c r="R92" i="69"/>
  <c r="R72" i="69"/>
  <c r="R57" i="69"/>
  <c r="R141" i="69"/>
  <c r="R54" i="69"/>
  <c r="R80" i="69"/>
  <c r="R75" i="69"/>
  <c r="R64" i="69"/>
  <c r="R88" i="69"/>
  <c r="R55" i="69"/>
  <c r="R129" i="69"/>
  <c r="R77" i="69"/>
  <c r="R68" i="69"/>
  <c r="R59" i="69"/>
  <c r="R135" i="69"/>
  <c r="R67" i="69"/>
  <c r="R56" i="69"/>
  <c r="R139" i="69"/>
  <c r="R120" i="69"/>
  <c r="R108" i="69"/>
  <c r="R83" i="69"/>
  <c r="R61" i="69"/>
  <c r="R126" i="69"/>
  <c r="R102" i="69"/>
  <c r="R70" i="69"/>
  <c r="X12" i="69"/>
  <c r="Z12" i="69" s="1"/>
  <c r="R117" i="69"/>
  <c r="R62" i="69"/>
  <c r="R149" i="69"/>
  <c r="R58" i="69"/>
  <c r="R131" i="69"/>
  <c r="R113" i="69"/>
  <c r="R144" i="69"/>
  <c r="R86" i="69"/>
  <c r="R100" i="69"/>
  <c r="R71" i="69"/>
  <c r="N16" i="62"/>
  <c r="H100" i="62"/>
  <c r="T92" i="64"/>
  <c r="T100" i="62"/>
  <c r="Z16" i="62"/>
  <c r="F50" i="66"/>
  <c r="F46" i="66"/>
  <c r="F42" i="66"/>
  <c r="F38" i="66"/>
  <c r="F121" i="66"/>
  <c r="F101" i="66"/>
  <c r="F93" i="66"/>
  <c r="F85" i="66"/>
  <c r="F84" i="66"/>
  <c r="F77" i="66"/>
  <c r="F73" i="66"/>
  <c r="F69" i="66"/>
  <c r="F68" i="66"/>
  <c r="F108" i="66"/>
  <c r="F64" i="66"/>
  <c r="F60" i="66"/>
  <c r="L12" i="66"/>
  <c r="N12" i="66" s="1"/>
  <c r="F103" i="66"/>
  <c r="F102" i="66"/>
  <c r="F95" i="66"/>
  <c r="F94" i="66"/>
  <c r="F87" i="66"/>
  <c r="F86" i="66"/>
  <c r="F51" i="66"/>
  <c r="F47" i="66"/>
  <c r="F43" i="66"/>
  <c r="F39" i="66"/>
  <c r="F97" i="66"/>
  <c r="F96" i="66"/>
  <c r="F89" i="66"/>
  <c r="F88" i="66"/>
  <c r="F65" i="66"/>
  <c r="F61" i="66"/>
  <c r="F115" i="66"/>
  <c r="F98" i="66"/>
  <c r="F90" i="66"/>
  <c r="F82" i="66"/>
  <c r="F81" i="66"/>
  <c r="F66" i="66"/>
  <c r="F62" i="66"/>
  <c r="F58" i="66"/>
  <c r="F57" i="66"/>
  <c r="F117" i="66"/>
  <c r="F100" i="66"/>
  <c r="F99" i="66"/>
  <c r="F92" i="66"/>
  <c r="F91" i="66"/>
  <c r="F76" i="66"/>
  <c r="F72" i="66"/>
  <c r="D54" i="66"/>
  <c r="F112" i="66"/>
  <c r="F107" i="66"/>
  <c r="F80" i="66"/>
  <c r="F52" i="66"/>
  <c r="F41" i="66"/>
  <c r="F105" i="66"/>
  <c r="F56" i="66"/>
  <c r="F37" i="66"/>
  <c r="F110" i="66"/>
  <c r="F78" i="66"/>
  <c r="F48" i="66"/>
  <c r="F59" i="66"/>
  <c r="F116" i="66"/>
  <c r="F83" i="66"/>
  <c r="F74" i="66"/>
  <c r="F67" i="66"/>
  <c r="F63" i="66"/>
  <c r="F44" i="66"/>
  <c r="F109" i="66"/>
  <c r="F75" i="66"/>
  <c r="F71" i="66"/>
  <c r="F45" i="66"/>
  <c r="F36" i="66"/>
  <c r="F114" i="66"/>
  <c r="F106" i="66"/>
  <c r="F79" i="66"/>
  <c r="F70" i="66"/>
  <c r="F49" i="66"/>
  <c r="F111" i="66"/>
  <c r="F40" i="66"/>
  <c r="F104" i="66"/>
  <c r="N16" i="59"/>
  <c r="H71" i="59"/>
  <c r="P22" i="54"/>
  <c r="X16" i="54"/>
  <c r="T105" i="51"/>
  <c r="H33" i="55"/>
  <c r="N16" i="55"/>
  <c r="T89" i="33"/>
  <c r="V85" i="33"/>
  <c r="H251" i="18"/>
  <c r="J143" i="18"/>
  <c r="T234" i="12"/>
  <c r="R94" i="24"/>
  <c r="R80" i="24"/>
  <c r="R79" i="24"/>
  <c r="R47" i="24"/>
  <c r="R43" i="24"/>
  <c r="R86" i="24"/>
  <c r="R71" i="24"/>
  <c r="R70" i="24"/>
  <c r="R34" i="24"/>
  <c r="R30" i="24"/>
  <c r="R81" i="24"/>
  <c r="R62" i="24"/>
  <c r="R61" i="24"/>
  <c r="R57" i="24"/>
  <c r="R53" i="24"/>
  <c r="R98" i="24"/>
  <c r="R73" i="24"/>
  <c r="R72" i="24"/>
  <c r="R48" i="24"/>
  <c r="R44" i="24"/>
  <c r="R88" i="24"/>
  <c r="R87" i="24"/>
  <c r="R64" i="24"/>
  <c r="R63" i="24"/>
  <c r="R35" i="24"/>
  <c r="R31" i="24"/>
  <c r="R83" i="24"/>
  <c r="R82" i="24"/>
  <c r="R75" i="24"/>
  <c r="R74" i="24"/>
  <c r="R58" i="24"/>
  <c r="R54" i="24"/>
  <c r="R89" i="24"/>
  <c r="R66" i="24"/>
  <c r="R65" i="24"/>
  <c r="R49" i="24"/>
  <c r="R45" i="24"/>
  <c r="R84" i="24"/>
  <c r="R77" i="24"/>
  <c r="R76" i="24"/>
  <c r="R41" i="24"/>
  <c r="R36" i="24"/>
  <c r="R32" i="24"/>
  <c r="X12" i="24"/>
  <c r="Z12" i="24" s="1"/>
  <c r="R68" i="24"/>
  <c r="R67" i="24"/>
  <c r="R59" i="24"/>
  <c r="R55" i="24"/>
  <c r="R40" i="24"/>
  <c r="R28" i="24"/>
  <c r="R85" i="24"/>
  <c r="R69" i="24"/>
  <c r="R33" i="24"/>
  <c r="R29" i="24"/>
  <c r="R50" i="24"/>
  <c r="R46" i="24"/>
  <c r="R90" i="24"/>
  <c r="R56" i="24"/>
  <c r="P38" i="24"/>
  <c r="R60" i="24"/>
  <c r="R51" i="24"/>
  <c r="R91" i="24"/>
  <c r="R78" i="24"/>
  <c r="R42" i="24"/>
  <c r="R52" i="24"/>
  <c r="R92" i="24"/>
  <c r="R225" i="12"/>
  <c r="R224" i="12"/>
  <c r="R212" i="12"/>
  <c r="R208" i="12"/>
  <c r="R197" i="12"/>
  <c r="R196" i="12"/>
  <c r="R185" i="12"/>
  <c r="R184" i="12"/>
  <c r="R169" i="12"/>
  <c r="R168" i="12"/>
  <c r="R160" i="12"/>
  <c r="R192" i="12"/>
  <c r="R191" i="12"/>
  <c r="R176" i="12"/>
  <c r="R175" i="12"/>
  <c r="R226" i="12"/>
  <c r="R219" i="12"/>
  <c r="R218" i="12"/>
  <c r="R203" i="12"/>
  <c r="R202" i="12"/>
  <c r="R198" i="12"/>
  <c r="R187" i="12"/>
  <c r="R186" i="12"/>
  <c r="R170" i="12"/>
  <c r="R231" i="12"/>
  <c r="R199" i="12"/>
  <c r="R180" i="12"/>
  <c r="R179" i="12"/>
  <c r="R172" i="12"/>
  <c r="R171" i="12"/>
  <c r="R232" i="12"/>
  <c r="R222" i="12"/>
  <c r="R214" i="12"/>
  <c r="R210" i="12"/>
  <c r="R194" i="12"/>
  <c r="R206" i="12"/>
  <c r="R205" i="12"/>
  <c r="R189" i="12"/>
  <c r="R181" i="12"/>
  <c r="R173" i="12"/>
  <c r="R236" i="12"/>
  <c r="R190" i="12"/>
  <c r="R183" i="12"/>
  <c r="R182" i="12"/>
  <c r="R174" i="12"/>
  <c r="R167" i="12"/>
  <c r="R166" i="12"/>
  <c r="R228" i="12"/>
  <c r="R120" i="12"/>
  <c r="R116" i="12"/>
  <c r="R112" i="12"/>
  <c r="R108" i="12"/>
  <c r="R104" i="12"/>
  <c r="R100" i="12"/>
  <c r="R96" i="12"/>
  <c r="R92" i="12"/>
  <c r="R88" i="12"/>
  <c r="R84" i="12"/>
  <c r="R221" i="12"/>
  <c r="R204" i="12"/>
  <c r="R193" i="12"/>
  <c r="R156" i="12"/>
  <c r="R155" i="12"/>
  <c r="R147" i="12"/>
  <c r="R143" i="12"/>
  <c r="R139" i="12"/>
  <c r="R177" i="12"/>
  <c r="R134" i="12"/>
  <c r="R130" i="12"/>
  <c r="X12" i="12"/>
  <c r="Z12" i="12" s="1"/>
  <c r="R223" i="12"/>
  <c r="R200" i="12"/>
  <c r="R163" i="12"/>
  <c r="R157" i="12"/>
  <c r="R121" i="12"/>
  <c r="R117" i="12"/>
  <c r="R113" i="12"/>
  <c r="R109" i="12"/>
  <c r="R105" i="12"/>
  <c r="R101" i="12"/>
  <c r="R97" i="12"/>
  <c r="R93" i="12"/>
  <c r="R89" i="12"/>
  <c r="R85" i="12"/>
  <c r="R209" i="12"/>
  <c r="R195" i="12"/>
  <c r="R149" i="12"/>
  <c r="R148" i="12"/>
  <c r="R144" i="12"/>
  <c r="R140" i="12"/>
  <c r="R81" i="12"/>
  <c r="R229" i="12"/>
  <c r="R217" i="12"/>
  <c r="R213" i="12"/>
  <c r="R207" i="12"/>
  <c r="R135" i="12"/>
  <c r="R131" i="12"/>
  <c r="R178" i="12"/>
  <c r="R151" i="12"/>
  <c r="R150" i="12"/>
  <c r="R127" i="12"/>
  <c r="R122" i="12"/>
  <c r="R118" i="12"/>
  <c r="R114" i="12"/>
  <c r="R110" i="12"/>
  <c r="R106" i="12"/>
  <c r="R102" i="12"/>
  <c r="R98" i="12"/>
  <c r="R94" i="12"/>
  <c r="R90" i="12"/>
  <c r="R86" i="12"/>
  <c r="R82" i="12"/>
  <c r="R211" i="12"/>
  <c r="R188" i="12"/>
  <c r="R164" i="12"/>
  <c r="R158" i="12"/>
  <c r="R145" i="12"/>
  <c r="R141" i="12"/>
  <c r="R126" i="12"/>
  <c r="R159" i="12"/>
  <c r="R146" i="12"/>
  <c r="R142" i="12"/>
  <c r="R216" i="12"/>
  <c r="R165" i="12"/>
  <c r="R162" i="12"/>
  <c r="R154" i="12"/>
  <c r="R153" i="12"/>
  <c r="R138" i="12"/>
  <c r="R137" i="12"/>
  <c r="R133" i="12"/>
  <c r="R129" i="12"/>
  <c r="R103" i="12"/>
  <c r="R201" i="12"/>
  <c r="P124" i="12"/>
  <c r="R99" i="12"/>
  <c r="R95" i="12"/>
  <c r="R132" i="12"/>
  <c r="R220" i="12"/>
  <c r="R91" i="12"/>
  <c r="R87" i="12"/>
  <c r="R152" i="12"/>
  <c r="R83" i="12"/>
  <c r="R215" i="12"/>
  <c r="R128" i="12"/>
  <c r="R161" i="12"/>
  <c r="R136" i="12"/>
  <c r="R119" i="12"/>
  <c r="R115" i="12"/>
  <c r="R111" i="12"/>
  <c r="R107" i="12"/>
  <c r="R230" i="12"/>
  <c r="Z16" i="6"/>
  <c r="T22" i="6"/>
  <c r="T109" i="21"/>
  <c r="V27" i="21"/>
  <c r="X18" i="47"/>
  <c r="P27" i="47"/>
  <c r="X18" i="43"/>
  <c r="P27" i="43"/>
  <c r="T27" i="47"/>
  <c r="Z18" i="47"/>
  <c r="T27" i="38"/>
  <c r="Z18" i="38"/>
  <c r="D27" i="35"/>
  <c r="L18" i="35"/>
  <c r="H27" i="23"/>
  <c r="N18" i="23"/>
  <c r="L18" i="23"/>
  <c r="D27" i="23"/>
  <c r="L18" i="26"/>
  <c r="D27" i="26"/>
  <c r="X18" i="13"/>
  <c r="P27" i="13"/>
  <c r="X18" i="4"/>
  <c r="P27" i="4"/>
  <c r="Z18" i="7"/>
  <c r="T27" i="7"/>
  <c r="D99" i="85" l="1"/>
  <c r="L23" i="85"/>
  <c r="N23" i="85" s="1"/>
  <c r="H31" i="87"/>
  <c r="N27" i="87"/>
  <c r="D84" i="56"/>
  <c r="L80" i="56"/>
  <c r="P92" i="64"/>
  <c r="X35" i="64"/>
  <c r="Z35" i="64" s="1"/>
  <c r="X27" i="16"/>
  <c r="P31" i="16"/>
  <c r="P31" i="31"/>
  <c r="X27" i="31"/>
  <c r="H113" i="21"/>
  <c r="J109" i="21"/>
  <c r="Z27" i="87"/>
  <c r="T31" i="87"/>
  <c r="H80" i="58"/>
  <c r="D91" i="81"/>
  <c r="L87" i="81"/>
  <c r="Z27" i="16"/>
  <c r="T31" i="16"/>
  <c r="P274" i="3"/>
  <c r="X270" i="3"/>
  <c r="Z270" i="3" s="1"/>
  <c r="R270" i="3"/>
  <c r="D40" i="55"/>
  <c r="P60" i="88"/>
  <c r="X56" i="88"/>
  <c r="Z56" i="88" s="1"/>
  <c r="X124" i="12"/>
  <c r="Z124" i="12" s="1"/>
  <c r="P234" i="12"/>
  <c r="P96" i="24"/>
  <c r="X38" i="24"/>
  <c r="Z38" i="24" s="1"/>
  <c r="H37" i="55"/>
  <c r="H104" i="62"/>
  <c r="T94" i="76"/>
  <c r="V90" i="76"/>
  <c r="H90" i="95"/>
  <c r="J86" i="95"/>
  <c r="N27" i="8"/>
  <c r="H31" i="8"/>
  <c r="Z27" i="25"/>
  <c r="T31" i="25"/>
  <c r="H176" i="30"/>
  <c r="J173" i="30"/>
  <c r="T83" i="84"/>
  <c r="T28" i="96"/>
  <c r="Z24" i="96"/>
  <c r="D104" i="62"/>
  <c r="L100" i="62"/>
  <c r="N100" i="62" s="1"/>
  <c r="Z27" i="32"/>
  <c r="T31" i="32"/>
  <c r="D31" i="25"/>
  <c r="L27" i="25"/>
  <c r="D31" i="47"/>
  <c r="L27" i="47"/>
  <c r="H107" i="9"/>
  <c r="L71" i="59"/>
  <c r="D75" i="59"/>
  <c r="P82" i="70"/>
  <c r="X28" i="70"/>
  <c r="Z28" i="70" s="1"/>
  <c r="D31" i="29"/>
  <c r="L27" i="29"/>
  <c r="D31" i="40"/>
  <c r="L27" i="40"/>
  <c r="X40" i="90"/>
  <c r="Z40" i="90" s="1"/>
  <c r="P44" i="90"/>
  <c r="D90" i="76"/>
  <c r="L21" i="76"/>
  <c r="N21" i="76" s="1"/>
  <c r="T274" i="3"/>
  <c r="V270" i="3"/>
  <c r="H31" i="19"/>
  <c r="N27" i="19"/>
  <c r="T91" i="81"/>
  <c r="H77" i="97"/>
  <c r="J73" i="97"/>
  <c r="T86" i="70"/>
  <c r="V82" i="70"/>
  <c r="H70" i="65"/>
  <c r="N66" i="65"/>
  <c r="X27" i="99"/>
  <c r="P31" i="99"/>
  <c r="L74" i="57"/>
  <c r="D78" i="57"/>
  <c r="P78" i="67"/>
  <c r="X74" i="67"/>
  <c r="Z74" i="67" s="1"/>
  <c r="N27" i="53"/>
  <c r="H31" i="53"/>
  <c r="H31" i="43"/>
  <c r="N27" i="43"/>
  <c r="P96" i="94"/>
  <c r="X23" i="94"/>
  <c r="Z23" i="94" s="1"/>
  <c r="X27" i="20"/>
  <c r="P31" i="20"/>
  <c r="L91" i="92"/>
  <c r="N91" i="92" s="1"/>
  <c r="D95" i="92"/>
  <c r="J89" i="70"/>
  <c r="L77" i="69"/>
  <c r="N77" i="69" s="1"/>
  <c r="D151" i="69"/>
  <c r="T158" i="69"/>
  <c r="V155" i="69"/>
  <c r="N40" i="90"/>
  <c r="H44" i="90"/>
  <c r="N27" i="10"/>
  <c r="H31" i="10"/>
  <c r="L270" i="3"/>
  <c r="N270" i="3" s="1"/>
  <c r="D274" i="3"/>
  <c r="F270" i="3"/>
  <c r="P74" i="57"/>
  <c r="X17" i="57"/>
  <c r="Z27" i="8"/>
  <c r="T31" i="8"/>
  <c r="X100" i="62"/>
  <c r="Z100" i="62" s="1"/>
  <c r="P104" i="62"/>
  <c r="Z101" i="45"/>
  <c r="T105" i="45"/>
  <c r="V101" i="45"/>
  <c r="H95" i="92"/>
  <c r="J91" i="92"/>
  <c r="H31" i="23"/>
  <c r="N27" i="23"/>
  <c r="N27" i="32"/>
  <c r="H31" i="32"/>
  <c r="P227" i="15"/>
  <c r="X120" i="15"/>
  <c r="Z120" i="15" s="1"/>
  <c r="H96" i="64"/>
  <c r="J92" i="64"/>
  <c r="T47" i="90"/>
  <c r="T85" i="82"/>
  <c r="T255" i="18"/>
  <c r="V251" i="18"/>
  <c r="D131" i="39"/>
  <c r="L127" i="39"/>
  <c r="N127" i="39" s="1"/>
  <c r="F127" i="39"/>
  <c r="D31" i="41"/>
  <c r="L27" i="41"/>
  <c r="P169" i="30"/>
  <c r="X78" i="30"/>
  <c r="Z78" i="30" s="1"/>
  <c r="N27" i="26"/>
  <c r="H31" i="26"/>
  <c r="L80" i="83"/>
  <c r="N80" i="83" s="1"/>
  <c r="D84" i="83"/>
  <c r="N27" i="41"/>
  <c r="H31" i="41"/>
  <c r="X27" i="17"/>
  <c r="P31" i="17"/>
  <c r="L17" i="9"/>
  <c r="D103" i="9"/>
  <c r="T80" i="58"/>
  <c r="N22" i="6"/>
  <c r="H26" i="6"/>
  <c r="L27" i="19"/>
  <c r="D31" i="19"/>
  <c r="T74" i="74"/>
  <c r="T103" i="94"/>
  <c r="V100" i="94"/>
  <c r="X91" i="92"/>
  <c r="Z91" i="92" s="1"/>
  <c r="P95" i="92"/>
  <c r="R91" i="92"/>
  <c r="X30" i="89"/>
  <c r="P34" i="89"/>
  <c r="X27" i="26"/>
  <c r="P31" i="26"/>
  <c r="D82" i="82"/>
  <c r="L78" i="82"/>
  <c r="N78" i="82" s="1"/>
  <c r="X27" i="35"/>
  <c r="P31" i="35"/>
  <c r="D26" i="54"/>
  <c r="L22" i="54"/>
  <c r="L27" i="98"/>
  <c r="D31" i="98"/>
  <c r="D31" i="37"/>
  <c r="L27" i="37"/>
  <c r="H106" i="85"/>
  <c r="J103" i="85"/>
  <c r="D31" i="32"/>
  <c r="L27" i="32"/>
  <c r="L58" i="91"/>
  <c r="D62" i="91"/>
  <c r="Z27" i="100"/>
  <c r="T31" i="100"/>
  <c r="X27" i="32"/>
  <c r="P31" i="32"/>
  <c r="X28" i="78"/>
  <c r="P32" i="78"/>
  <c r="R28" i="78"/>
  <c r="T31" i="53"/>
  <c r="Z27" i="53"/>
  <c r="Z27" i="20"/>
  <c r="T31" i="20"/>
  <c r="Z27" i="7"/>
  <c r="T31" i="7"/>
  <c r="T113" i="21"/>
  <c r="V109" i="21"/>
  <c r="R124" i="12"/>
  <c r="P151" i="69"/>
  <c r="X77" i="69"/>
  <c r="Z77" i="69" s="1"/>
  <c r="H28" i="96"/>
  <c r="N24" i="96"/>
  <c r="X27" i="10"/>
  <c r="P31" i="10"/>
  <c r="X27" i="38"/>
  <c r="P31" i="38"/>
  <c r="D109" i="21"/>
  <c r="L27" i="21"/>
  <c r="N27" i="21" s="1"/>
  <c r="X48" i="71"/>
  <c r="Z48" i="71" s="1"/>
  <c r="P105" i="71"/>
  <c r="P28" i="93"/>
  <c r="X24" i="93"/>
  <c r="X58" i="91"/>
  <c r="Z58" i="91" s="1"/>
  <c r="P62" i="91"/>
  <c r="H78" i="67"/>
  <c r="J74" i="67"/>
  <c r="R78" i="30"/>
  <c r="X27" i="34"/>
  <c r="P31" i="34"/>
  <c r="H78" i="57"/>
  <c r="N74" i="57"/>
  <c r="D31" i="93"/>
  <c r="L28" i="93"/>
  <c r="H31" i="46"/>
  <c r="N27" i="46"/>
  <c r="X127" i="39"/>
  <c r="P131" i="39"/>
  <c r="R127" i="39"/>
  <c r="L56" i="88"/>
  <c r="D60" i="88"/>
  <c r="P31" i="14"/>
  <c r="X27" i="14"/>
  <c r="N27" i="22"/>
  <c r="H31" i="22"/>
  <c r="N27" i="47"/>
  <c r="H31" i="47"/>
  <c r="D96" i="24"/>
  <c r="L38" i="24"/>
  <c r="N38" i="24" s="1"/>
  <c r="H83" i="73"/>
  <c r="J79" i="73"/>
  <c r="P99" i="85"/>
  <c r="X23" i="85"/>
  <c r="Z23" i="85" s="1"/>
  <c r="T80" i="97"/>
  <c r="V77" i="97"/>
  <c r="Z27" i="14"/>
  <c r="T31" i="14"/>
  <c r="X27" i="50"/>
  <c r="P31" i="50"/>
  <c r="N27" i="98"/>
  <c r="H31" i="98"/>
  <c r="P37" i="55"/>
  <c r="X33" i="55"/>
  <c r="Z33" i="55" s="1"/>
  <c r="H35" i="78"/>
  <c r="J32" i="78"/>
  <c r="T28" i="93"/>
  <c r="Z24" i="93"/>
  <c r="D31" i="44"/>
  <c r="L27" i="44"/>
  <c r="X73" i="48"/>
  <c r="R73" i="48"/>
  <c r="P77" i="48"/>
  <c r="Z27" i="19"/>
  <c r="T31" i="19"/>
  <c r="P64" i="61"/>
  <c r="X60" i="61"/>
  <c r="Z60" i="61" s="1"/>
  <c r="N27" i="16"/>
  <c r="H31" i="16"/>
  <c r="Z27" i="28"/>
  <c r="T31" i="28"/>
  <c r="P107" i="9"/>
  <c r="X103" i="9"/>
  <c r="Z103" i="9" s="1"/>
  <c r="L55" i="27"/>
  <c r="N55" i="27" s="1"/>
  <c r="D120" i="27"/>
  <c r="L27" i="46"/>
  <c r="D31" i="46"/>
  <c r="X54" i="66"/>
  <c r="Z54" i="66" s="1"/>
  <c r="P119" i="66"/>
  <c r="H131" i="39"/>
  <c r="J127" i="39"/>
  <c r="X80" i="83"/>
  <c r="P84" i="83"/>
  <c r="L27" i="49"/>
  <c r="D31" i="49"/>
  <c r="T53" i="75"/>
  <c r="X53" i="75" s="1"/>
  <c r="Z49" i="75"/>
  <c r="V49" i="75"/>
  <c r="T37" i="55"/>
  <c r="D98" i="79"/>
  <c r="L98" i="79" s="1"/>
  <c r="N98" i="79" s="1"/>
  <c r="L95" i="79"/>
  <c r="N95" i="79" s="1"/>
  <c r="Z27" i="44"/>
  <c r="T31" i="44"/>
  <c r="D251" i="18"/>
  <c r="L143" i="18"/>
  <c r="N143" i="18" s="1"/>
  <c r="H31" i="37"/>
  <c r="N27" i="37"/>
  <c r="L22" i="6"/>
  <c r="D26" i="6"/>
  <c r="L79" i="84"/>
  <c r="N79" i="84" s="1"/>
  <c r="D83" i="84"/>
  <c r="H31" i="29"/>
  <c r="N27" i="29"/>
  <c r="L27" i="35"/>
  <c r="D31" i="35"/>
  <c r="Z22" i="6"/>
  <c r="T26" i="6"/>
  <c r="T238" i="12"/>
  <c r="V234" i="12"/>
  <c r="P26" i="54"/>
  <c r="X22" i="54"/>
  <c r="P83" i="84"/>
  <c r="X79" i="84"/>
  <c r="Z79" i="84" s="1"/>
  <c r="R79" i="84"/>
  <c r="Z27" i="29"/>
  <c r="T31" i="29"/>
  <c r="N27" i="49"/>
  <c r="H31" i="49"/>
  <c r="T100" i="24"/>
  <c r="V96" i="24"/>
  <c r="T124" i="42"/>
  <c r="V120" i="42"/>
  <c r="T126" i="77"/>
  <c r="V122" i="77"/>
  <c r="D234" i="12"/>
  <c r="L124" i="12"/>
  <c r="N124" i="12" s="1"/>
  <c r="P83" i="73"/>
  <c r="X79" i="73"/>
  <c r="Z79" i="73" s="1"/>
  <c r="R79" i="73"/>
  <c r="T110" i="9"/>
  <c r="H109" i="71"/>
  <c r="J105" i="71"/>
  <c r="D49" i="75"/>
  <c r="L23" i="75"/>
  <c r="N23" i="75" s="1"/>
  <c r="X127" i="36"/>
  <c r="Z127" i="36" s="1"/>
  <c r="P131" i="36"/>
  <c r="R127" i="36"/>
  <c r="H94" i="76"/>
  <c r="J90" i="76"/>
  <c r="L27" i="11"/>
  <c r="D31" i="11"/>
  <c r="X27" i="19"/>
  <c r="P31" i="19"/>
  <c r="D31" i="28"/>
  <c r="L27" i="28"/>
  <c r="P31" i="46"/>
  <c r="X27" i="46"/>
  <c r="T234" i="15"/>
  <c r="V231" i="15"/>
  <c r="H108" i="45"/>
  <c r="J105" i="45"/>
  <c r="D105" i="51"/>
  <c r="L48" i="51"/>
  <c r="N48" i="51" s="1"/>
  <c r="N30" i="89"/>
  <c r="H34" i="89"/>
  <c r="L30" i="89"/>
  <c r="D31" i="99"/>
  <c r="L27" i="99"/>
  <c r="P105" i="45"/>
  <c r="X101" i="45"/>
  <c r="R101" i="45"/>
  <c r="X27" i="23"/>
  <c r="P31" i="23"/>
  <c r="D92" i="64"/>
  <c r="L35" i="64"/>
  <c r="N35" i="64" s="1"/>
  <c r="N27" i="11"/>
  <c r="H31" i="11"/>
  <c r="N27" i="5"/>
  <c r="H31" i="5"/>
  <c r="X27" i="41"/>
  <c r="P31" i="41"/>
  <c r="T70" i="65"/>
  <c r="Z66" i="65"/>
  <c r="V66" i="65"/>
  <c r="X27" i="87"/>
  <c r="P31" i="87"/>
  <c r="R27" i="87"/>
  <c r="N27" i="13"/>
  <c r="H31" i="13"/>
  <c r="L27" i="8"/>
  <c r="D31" i="8"/>
  <c r="L27" i="34"/>
  <c r="D31" i="34"/>
  <c r="H77" i="48"/>
  <c r="N73" i="48"/>
  <c r="J73" i="48"/>
  <c r="X27" i="37"/>
  <c r="P31" i="37"/>
  <c r="H31" i="20"/>
  <c r="N27" i="20"/>
  <c r="P31" i="4"/>
  <c r="X27" i="4"/>
  <c r="N71" i="59"/>
  <c r="H75" i="59"/>
  <c r="D119" i="66"/>
  <c r="L54" i="66"/>
  <c r="N54" i="66" s="1"/>
  <c r="T65" i="91"/>
  <c r="T26" i="54"/>
  <c r="Z22" i="54"/>
  <c r="L120" i="15"/>
  <c r="N120" i="15" s="1"/>
  <c r="D227" i="15"/>
  <c r="H127" i="42"/>
  <c r="J124" i="42"/>
  <c r="L23" i="94"/>
  <c r="N23" i="94" s="1"/>
  <c r="D96" i="94"/>
  <c r="N27" i="44"/>
  <c r="H31" i="44"/>
  <c r="F77" i="69"/>
  <c r="P31" i="53"/>
  <c r="X27" i="53"/>
  <c r="P70" i="65"/>
  <c r="X66" i="65"/>
  <c r="H234" i="15"/>
  <c r="J231" i="15"/>
  <c r="T103" i="85"/>
  <c r="V99" i="85"/>
  <c r="Z27" i="23"/>
  <c r="T31" i="23"/>
  <c r="T31" i="46"/>
  <c r="Z27" i="46"/>
  <c r="L27" i="4"/>
  <c r="D31" i="4"/>
  <c r="X27" i="22"/>
  <c r="P31" i="22"/>
  <c r="X27" i="44"/>
  <c r="P31" i="44"/>
  <c r="T84" i="56"/>
  <c r="Z80" i="56"/>
  <c r="H56" i="75"/>
  <c r="J53" i="75"/>
  <c r="T123" i="66"/>
  <c r="V119" i="66"/>
  <c r="X27" i="29"/>
  <c r="P31" i="29"/>
  <c r="N80" i="56"/>
  <c r="H84" i="56"/>
  <c r="P94" i="76"/>
  <c r="X90" i="76"/>
  <c r="Z90" i="76" s="1"/>
  <c r="R54" i="66"/>
  <c r="L27" i="23"/>
  <c r="D31" i="23"/>
  <c r="H274" i="3"/>
  <c r="J270" i="3"/>
  <c r="L76" i="58"/>
  <c r="N76" i="58" s="1"/>
  <c r="T65" i="60"/>
  <c r="H91" i="81"/>
  <c r="N87" i="81"/>
  <c r="L27" i="5"/>
  <c r="D31" i="5"/>
  <c r="D82" i="70"/>
  <c r="L28" i="70"/>
  <c r="N28" i="70" s="1"/>
  <c r="T34" i="89"/>
  <c r="Z30" i="89"/>
  <c r="D105" i="71"/>
  <c r="L48" i="71"/>
  <c r="N48" i="71" s="1"/>
  <c r="L24" i="96"/>
  <c r="D28" i="96"/>
  <c r="P109" i="21"/>
  <c r="X27" i="21"/>
  <c r="Z27" i="21" s="1"/>
  <c r="L60" i="61"/>
  <c r="N60" i="61" s="1"/>
  <c r="D64" i="61"/>
  <c r="P80" i="97"/>
  <c r="X77" i="97"/>
  <c r="Z77" i="97" s="1"/>
  <c r="R77" i="97"/>
  <c r="L27" i="14"/>
  <c r="D31" i="14"/>
  <c r="Z73" i="48"/>
  <c r="T77" i="48"/>
  <c r="V73" i="48"/>
  <c r="T63" i="88"/>
  <c r="H123" i="66"/>
  <c r="J119" i="66"/>
  <c r="Z27" i="4"/>
  <c r="T31" i="4"/>
  <c r="T173" i="30"/>
  <c r="V169" i="30"/>
  <c r="X27" i="100"/>
  <c r="P31" i="100"/>
  <c r="L58" i="60"/>
  <c r="N58" i="60" s="1"/>
  <c r="D62" i="60"/>
  <c r="X58" i="60"/>
  <c r="Z58" i="60" s="1"/>
  <c r="P62" i="60"/>
  <c r="P86" i="95"/>
  <c r="X19" i="95"/>
  <c r="Z19" i="95" s="1"/>
  <c r="N24" i="93"/>
  <c r="H28" i="93"/>
  <c r="N27" i="4"/>
  <c r="H31" i="4"/>
  <c r="H31" i="28"/>
  <c r="N27" i="28"/>
  <c r="H31" i="38"/>
  <c r="N27" i="38"/>
  <c r="H31" i="50"/>
  <c r="N27" i="50"/>
  <c r="P85" i="33"/>
  <c r="X30" i="33"/>
  <c r="Z30" i="33" s="1"/>
  <c r="X27" i="98"/>
  <c r="P31" i="98"/>
  <c r="T31" i="35"/>
  <c r="Z27" i="35"/>
  <c r="N27" i="52"/>
  <c r="H31" i="52"/>
  <c r="D83" i="58"/>
  <c r="L80" i="58"/>
  <c r="N27" i="31"/>
  <c r="H31" i="31"/>
  <c r="L27" i="52"/>
  <c r="D31" i="52"/>
  <c r="Z27" i="10"/>
  <c r="T31" i="10"/>
  <c r="L27" i="50"/>
  <c r="D31" i="50"/>
  <c r="X49" i="75"/>
  <c r="T93" i="95"/>
  <c r="V90" i="95"/>
  <c r="Z27" i="17"/>
  <c r="T31" i="17"/>
  <c r="Z27" i="31"/>
  <c r="T31" i="31"/>
  <c r="H238" i="12"/>
  <c r="J234" i="12"/>
  <c r="H60" i="88"/>
  <c r="N56" i="88"/>
  <c r="V81" i="67"/>
  <c r="T95" i="79"/>
  <c r="Z91" i="79"/>
  <c r="X27" i="5"/>
  <c r="P31" i="5"/>
  <c r="L18" i="65"/>
  <c r="D66" i="65"/>
  <c r="N27" i="35"/>
  <c r="H31" i="35"/>
  <c r="H74" i="74"/>
  <c r="L70" i="74"/>
  <c r="N70" i="74" s="1"/>
  <c r="Z27" i="41"/>
  <c r="T31" i="41"/>
  <c r="X70" i="74"/>
  <c r="Z70" i="74" s="1"/>
  <c r="P74" i="74"/>
  <c r="J85" i="33"/>
  <c r="H89" i="33"/>
  <c r="X27" i="40"/>
  <c r="P31" i="40"/>
  <c r="X91" i="79"/>
  <c r="P95" i="79"/>
  <c r="H65" i="60"/>
  <c r="F23" i="85"/>
  <c r="R23" i="94"/>
  <c r="D74" i="67"/>
  <c r="L23" i="67"/>
  <c r="N23" i="67" s="1"/>
  <c r="N27" i="34"/>
  <c r="H31" i="34"/>
  <c r="H131" i="36"/>
  <c r="J127" i="36"/>
  <c r="F23" i="94"/>
  <c r="Z27" i="43"/>
  <c r="T31" i="43"/>
  <c r="H109" i="51"/>
  <c r="J105" i="51"/>
  <c r="F23" i="75"/>
  <c r="L44" i="77"/>
  <c r="N44" i="77" s="1"/>
  <c r="D122" i="77"/>
  <c r="N27" i="25"/>
  <c r="H31" i="25"/>
  <c r="N22" i="54"/>
  <c r="H26" i="54"/>
  <c r="Z80" i="83"/>
  <c r="T84" i="83"/>
  <c r="X27" i="11"/>
  <c r="P31" i="11"/>
  <c r="X27" i="25"/>
  <c r="P31" i="25"/>
  <c r="L27" i="53"/>
  <c r="D31" i="53"/>
  <c r="P120" i="42"/>
  <c r="X25" i="42"/>
  <c r="Z25" i="42" s="1"/>
  <c r="F48" i="71"/>
  <c r="R35" i="64"/>
  <c r="N27" i="17"/>
  <c r="H31" i="17"/>
  <c r="D131" i="36"/>
  <c r="L127" i="36"/>
  <c r="N127" i="36" s="1"/>
  <c r="F127" i="36"/>
  <c r="P31" i="49"/>
  <c r="X27" i="49"/>
  <c r="Z27" i="40"/>
  <c r="T31" i="40"/>
  <c r="P56" i="75"/>
  <c r="R53" i="75"/>
  <c r="Z28" i="78"/>
  <c r="T32" i="78"/>
  <c r="V28" i="78"/>
  <c r="N27" i="14"/>
  <c r="H31" i="14"/>
  <c r="X80" i="56"/>
  <c r="T83" i="73"/>
  <c r="V79" i="73"/>
  <c r="P31" i="47"/>
  <c r="X27" i="47"/>
  <c r="X27" i="28"/>
  <c r="P31" i="28"/>
  <c r="D90" i="95"/>
  <c r="L86" i="95"/>
  <c r="N86" i="95" s="1"/>
  <c r="T134" i="36"/>
  <c r="V131" i="36"/>
  <c r="T109" i="51"/>
  <c r="V105" i="51"/>
  <c r="Z27" i="38"/>
  <c r="T31" i="38"/>
  <c r="Z27" i="13"/>
  <c r="T31" i="13"/>
  <c r="H100" i="94"/>
  <c r="J96" i="94"/>
  <c r="Z27" i="26"/>
  <c r="T31" i="26"/>
  <c r="X27" i="7"/>
  <c r="P31" i="7"/>
  <c r="D31" i="10"/>
  <c r="L27" i="10"/>
  <c r="X87" i="81"/>
  <c r="Z87" i="81" s="1"/>
  <c r="P91" i="81"/>
  <c r="D31" i="16"/>
  <c r="L27" i="16"/>
  <c r="F54" i="66"/>
  <c r="L27" i="26"/>
  <c r="D31" i="26"/>
  <c r="X27" i="43"/>
  <c r="P31" i="43"/>
  <c r="T104" i="62"/>
  <c r="L79" i="73"/>
  <c r="N79" i="73" s="1"/>
  <c r="D83" i="73"/>
  <c r="L40" i="90"/>
  <c r="D44" i="90"/>
  <c r="X32" i="80"/>
  <c r="Z32" i="80" s="1"/>
  <c r="P36" i="80"/>
  <c r="X27" i="8"/>
  <c r="P31" i="8"/>
  <c r="H36" i="80"/>
  <c r="F124" i="12"/>
  <c r="D101" i="45"/>
  <c r="L23" i="45"/>
  <c r="N23" i="45" s="1"/>
  <c r="D31" i="13"/>
  <c r="L27" i="13"/>
  <c r="H100" i="24"/>
  <c r="J96" i="24"/>
  <c r="J129" i="77"/>
  <c r="D31" i="38"/>
  <c r="L27" i="38"/>
  <c r="D31" i="87"/>
  <c r="L27" i="87"/>
  <c r="F27" i="87"/>
  <c r="X76" i="58"/>
  <c r="Z76" i="58" s="1"/>
  <c r="P80" i="58"/>
  <c r="Z27" i="34"/>
  <c r="T31" i="34"/>
  <c r="D77" i="48"/>
  <c r="L73" i="48"/>
  <c r="F73" i="48"/>
  <c r="X44" i="77"/>
  <c r="Z44" i="77" s="1"/>
  <c r="P122" i="77"/>
  <c r="X86" i="86"/>
  <c r="Z86" i="86" s="1"/>
  <c r="P90" i="86"/>
  <c r="H90" i="86"/>
  <c r="Z27" i="50"/>
  <c r="T31" i="50"/>
  <c r="N27" i="100"/>
  <c r="H31" i="100"/>
  <c r="P85" i="82"/>
  <c r="X85" i="82" s="1"/>
  <c r="X82" i="82"/>
  <c r="Z82" i="82" s="1"/>
  <c r="T78" i="57"/>
  <c r="D31" i="31"/>
  <c r="L27" i="31"/>
  <c r="X143" i="18"/>
  <c r="Z143" i="18" s="1"/>
  <c r="P251" i="18"/>
  <c r="L20" i="78"/>
  <c r="N20" i="78" s="1"/>
  <c r="D28" i="78"/>
  <c r="H31" i="7"/>
  <c r="N27" i="7"/>
  <c r="H31" i="99"/>
  <c r="N27" i="99"/>
  <c r="H31" i="40"/>
  <c r="N27" i="40"/>
  <c r="X84" i="56"/>
  <c r="P87" i="56"/>
  <c r="Z27" i="99"/>
  <c r="T31" i="99"/>
  <c r="X71" i="59"/>
  <c r="P75" i="59"/>
  <c r="D90" i="86"/>
  <c r="L86" i="86"/>
  <c r="N86" i="86" s="1"/>
  <c r="P31" i="13"/>
  <c r="X27" i="13"/>
  <c r="H255" i="18"/>
  <c r="J251" i="18"/>
  <c r="Z27" i="47"/>
  <c r="T31" i="47"/>
  <c r="R38" i="24"/>
  <c r="T92" i="33"/>
  <c r="V89" i="33"/>
  <c r="T96" i="64"/>
  <c r="V92" i="64"/>
  <c r="D31" i="17"/>
  <c r="L27" i="17"/>
  <c r="Z27" i="22"/>
  <c r="T31" i="22"/>
  <c r="Z27" i="98"/>
  <c r="T31" i="98"/>
  <c r="Z127" i="39"/>
  <c r="T131" i="39"/>
  <c r="V127" i="39"/>
  <c r="P120" i="27"/>
  <c r="X55" i="27"/>
  <c r="Z55" i="27" s="1"/>
  <c r="Z27" i="11"/>
  <c r="T31" i="11"/>
  <c r="Z27" i="37"/>
  <c r="T31" i="37"/>
  <c r="F120" i="15"/>
  <c r="D124" i="42"/>
  <c r="L120" i="42"/>
  <c r="N120" i="42" s="1"/>
  <c r="F120" i="42"/>
  <c r="T67" i="61"/>
  <c r="D36" i="80"/>
  <c r="L32" i="80"/>
  <c r="N32" i="80" s="1"/>
  <c r="H155" i="69"/>
  <c r="J151" i="69"/>
  <c r="T31" i="5"/>
  <c r="Z27" i="5"/>
  <c r="Z27" i="49"/>
  <c r="T31" i="49"/>
  <c r="D173" i="30"/>
  <c r="L169" i="30"/>
  <c r="N169" i="30" s="1"/>
  <c r="F169" i="30"/>
  <c r="D31" i="20"/>
  <c r="L27" i="20"/>
  <c r="L27" i="22"/>
  <c r="D31" i="22"/>
  <c r="D31" i="43"/>
  <c r="L27" i="43"/>
  <c r="T124" i="27"/>
  <c r="V120" i="27"/>
  <c r="D31" i="100"/>
  <c r="L27" i="100"/>
  <c r="F143" i="18"/>
  <c r="H124" i="27"/>
  <c r="J120" i="27"/>
  <c r="T109" i="71"/>
  <c r="V105" i="71"/>
  <c r="L27" i="7"/>
  <c r="D31" i="7"/>
  <c r="T31" i="52"/>
  <c r="Z27" i="52"/>
  <c r="D85" i="33"/>
  <c r="L30" i="33"/>
  <c r="N30" i="33" s="1"/>
  <c r="D73" i="97"/>
  <c r="L17" i="97"/>
  <c r="N17" i="97" s="1"/>
  <c r="F17" i="97"/>
  <c r="X22" i="6"/>
  <c r="P26" i="6"/>
  <c r="H64" i="61"/>
  <c r="T36" i="80"/>
  <c r="P28" i="96"/>
  <c r="X24" i="96"/>
  <c r="L33" i="55"/>
  <c r="N33" i="55" s="1"/>
  <c r="P31" i="52"/>
  <c r="X27" i="52"/>
  <c r="X48" i="51"/>
  <c r="Z48" i="51" s="1"/>
  <c r="P105" i="51"/>
  <c r="Z71" i="59"/>
  <c r="T75" i="59"/>
  <c r="H62" i="91"/>
  <c r="N58" i="91"/>
  <c r="T81" i="57" l="1"/>
  <c r="D100" i="94"/>
  <c r="L96" i="94"/>
  <c r="N96" i="94" s="1"/>
  <c r="F96" i="94"/>
  <c r="X109" i="21"/>
  <c r="Z109" i="21" s="1"/>
  <c r="P113" i="21"/>
  <c r="R109" i="21"/>
  <c r="H94" i="81"/>
  <c r="N84" i="56"/>
  <c r="H87" i="56"/>
  <c r="P36" i="44"/>
  <c r="X31" i="44"/>
  <c r="T106" i="85"/>
  <c r="V103" i="85"/>
  <c r="H78" i="59"/>
  <c r="P86" i="73"/>
  <c r="X83" i="73"/>
  <c r="R83" i="73"/>
  <c r="N31" i="49"/>
  <c r="H36" i="49"/>
  <c r="N36" i="49" s="1"/>
  <c r="Z26" i="6"/>
  <c r="T31" i="6"/>
  <c r="X77" i="48"/>
  <c r="P80" i="48"/>
  <c r="R77" i="48"/>
  <c r="N31" i="98"/>
  <c r="H36" i="98"/>
  <c r="N36" i="98" s="1"/>
  <c r="H86" i="73"/>
  <c r="J83" i="73"/>
  <c r="D63" i="88"/>
  <c r="L63" i="88" s="1"/>
  <c r="L60" i="88"/>
  <c r="H81" i="57"/>
  <c r="X31" i="32"/>
  <c r="P36" i="32"/>
  <c r="D85" i="82"/>
  <c r="L85" i="82" s="1"/>
  <c r="N85" i="82" s="1"/>
  <c r="L82" i="82"/>
  <c r="N82" i="82" s="1"/>
  <c r="N31" i="32"/>
  <c r="H36" i="32"/>
  <c r="N36" i="32" s="1"/>
  <c r="Z31" i="8"/>
  <c r="T36" i="8"/>
  <c r="Z36" i="8" s="1"/>
  <c r="P86" i="70"/>
  <c r="X82" i="70"/>
  <c r="Z82" i="70" s="1"/>
  <c r="R82" i="70"/>
  <c r="D107" i="62"/>
  <c r="L104" i="62"/>
  <c r="P238" i="12"/>
  <c r="X234" i="12"/>
  <c r="Z234" i="12" s="1"/>
  <c r="R234" i="12"/>
  <c r="D94" i="81"/>
  <c r="L91" i="81"/>
  <c r="N91" i="81" s="1"/>
  <c r="D36" i="43"/>
  <c r="L31" i="43"/>
  <c r="H103" i="24"/>
  <c r="J100" i="24"/>
  <c r="Z31" i="43"/>
  <c r="T36" i="43"/>
  <c r="Z36" i="43" s="1"/>
  <c r="D67" i="61"/>
  <c r="L67" i="61" s="1"/>
  <c r="L64" i="61"/>
  <c r="J35" i="78"/>
  <c r="X31" i="35"/>
  <c r="P36" i="35"/>
  <c r="X31" i="28"/>
  <c r="P36" i="28"/>
  <c r="X28" i="93"/>
  <c r="P31" i="93"/>
  <c r="X31" i="93" s="1"/>
  <c r="D36" i="29"/>
  <c r="L31" i="29"/>
  <c r="H36" i="40"/>
  <c r="N36" i="40" s="1"/>
  <c r="N31" i="40"/>
  <c r="N65" i="60"/>
  <c r="Z84" i="56"/>
  <c r="T87" i="56"/>
  <c r="P108" i="45"/>
  <c r="X105" i="45"/>
  <c r="R105" i="45"/>
  <c r="P231" i="15"/>
  <c r="X227" i="15"/>
  <c r="Z227" i="15" s="1"/>
  <c r="R227" i="15"/>
  <c r="Z31" i="38"/>
  <c r="T36" i="38"/>
  <c r="Z36" i="38" s="1"/>
  <c r="D77" i="97"/>
  <c r="L73" i="97"/>
  <c r="N73" i="97" s="1"/>
  <c r="F73" i="97"/>
  <c r="H127" i="27"/>
  <c r="J124" i="27"/>
  <c r="D36" i="20"/>
  <c r="L31" i="20"/>
  <c r="D39" i="80"/>
  <c r="L39" i="80" s="1"/>
  <c r="L36" i="80"/>
  <c r="X120" i="27"/>
  <c r="Z120" i="27" s="1"/>
  <c r="P124" i="27"/>
  <c r="R120" i="27"/>
  <c r="T99" i="64"/>
  <c r="V96" i="64"/>
  <c r="P36" i="13"/>
  <c r="X31" i="13"/>
  <c r="H36" i="99"/>
  <c r="N36" i="99" s="1"/>
  <c r="N31" i="99"/>
  <c r="P36" i="47"/>
  <c r="X31" i="47"/>
  <c r="R56" i="75"/>
  <c r="N31" i="25"/>
  <c r="H36" i="25"/>
  <c r="N36" i="25" s="1"/>
  <c r="X95" i="79"/>
  <c r="P98" i="79"/>
  <c r="X31" i="100"/>
  <c r="P36" i="100"/>
  <c r="L28" i="96"/>
  <c r="D31" i="96"/>
  <c r="L31" i="8"/>
  <c r="D36" i="8"/>
  <c r="N31" i="5"/>
  <c r="H36" i="5"/>
  <c r="N36" i="5" s="1"/>
  <c r="D36" i="99"/>
  <c r="L31" i="99"/>
  <c r="X131" i="36"/>
  <c r="Z131" i="36" s="1"/>
  <c r="P134" i="36"/>
  <c r="R131" i="36"/>
  <c r="L251" i="18"/>
  <c r="N251" i="18" s="1"/>
  <c r="D255" i="18"/>
  <c r="F251" i="18"/>
  <c r="X84" i="83"/>
  <c r="Z84" i="83" s="1"/>
  <c r="P87" i="83"/>
  <c r="X107" i="9"/>
  <c r="Z107" i="9" s="1"/>
  <c r="P110" i="9"/>
  <c r="X110" i="9" s="1"/>
  <c r="X31" i="34"/>
  <c r="P36" i="34"/>
  <c r="T116" i="21"/>
  <c r="V113" i="21"/>
  <c r="X31" i="26"/>
  <c r="P36" i="26"/>
  <c r="L31" i="19"/>
  <c r="D36" i="19"/>
  <c r="D87" i="83"/>
  <c r="L87" i="83" s="1"/>
  <c r="N87" i="83" s="1"/>
  <c r="L84" i="83"/>
  <c r="N84" i="83" s="1"/>
  <c r="V158" i="69"/>
  <c r="H36" i="43"/>
  <c r="N36" i="43" s="1"/>
  <c r="N31" i="43"/>
  <c r="T89" i="70"/>
  <c r="V86" i="70"/>
  <c r="D78" i="59"/>
  <c r="L78" i="59" s="1"/>
  <c r="L75" i="59"/>
  <c r="N75" i="59" s="1"/>
  <c r="Z31" i="32"/>
  <c r="T36" i="32"/>
  <c r="Z36" i="32" s="1"/>
  <c r="H158" i="69"/>
  <c r="J155" i="69"/>
  <c r="D34" i="87"/>
  <c r="L31" i="87"/>
  <c r="F31" i="87"/>
  <c r="H36" i="50"/>
  <c r="N36" i="50" s="1"/>
  <c r="N31" i="50"/>
  <c r="N26" i="54"/>
  <c r="H31" i="54"/>
  <c r="L62" i="60"/>
  <c r="N62" i="60" s="1"/>
  <c r="D65" i="60"/>
  <c r="L65" i="60" s="1"/>
  <c r="H97" i="76"/>
  <c r="J94" i="76"/>
  <c r="L31" i="49"/>
  <c r="D36" i="49"/>
  <c r="P100" i="24"/>
  <c r="X96" i="24"/>
  <c r="Z96" i="24" s="1"/>
  <c r="R96" i="24"/>
  <c r="H36" i="38"/>
  <c r="N36" i="38" s="1"/>
  <c r="N31" i="38"/>
  <c r="D105" i="45"/>
  <c r="L101" i="45"/>
  <c r="N101" i="45" s="1"/>
  <c r="F101" i="45"/>
  <c r="D36" i="10"/>
  <c r="L31" i="10"/>
  <c r="Z31" i="40"/>
  <c r="T36" i="40"/>
  <c r="Z36" i="40" s="1"/>
  <c r="P124" i="42"/>
  <c r="X120" i="42"/>
  <c r="Z120" i="42" s="1"/>
  <c r="R120" i="42"/>
  <c r="H134" i="36"/>
  <c r="J131" i="36"/>
  <c r="H77" i="74"/>
  <c r="L74" i="74"/>
  <c r="N74" i="74" s="1"/>
  <c r="N60" i="88"/>
  <c r="H63" i="88"/>
  <c r="L31" i="50"/>
  <c r="D36" i="50"/>
  <c r="H36" i="28"/>
  <c r="N36" i="28" s="1"/>
  <c r="N31" i="28"/>
  <c r="Z77" i="48"/>
  <c r="T80" i="48"/>
  <c r="V77" i="48"/>
  <c r="X31" i="29"/>
  <c r="P36" i="29"/>
  <c r="X31" i="22"/>
  <c r="P36" i="22"/>
  <c r="J234" i="15"/>
  <c r="J127" i="42"/>
  <c r="P36" i="46"/>
  <c r="X31" i="46"/>
  <c r="D238" i="12"/>
  <c r="L234" i="12"/>
  <c r="N234" i="12" s="1"/>
  <c r="F234" i="12"/>
  <c r="Z31" i="29"/>
  <c r="T36" i="29"/>
  <c r="Z36" i="29" s="1"/>
  <c r="L31" i="35"/>
  <c r="D36" i="35"/>
  <c r="Z31" i="44"/>
  <c r="T36" i="44"/>
  <c r="Z36" i="44" s="1"/>
  <c r="Z31" i="28"/>
  <c r="T36" i="28"/>
  <c r="Z36" i="28" s="1"/>
  <c r="X31" i="50"/>
  <c r="P36" i="50"/>
  <c r="D113" i="21"/>
  <c r="L109" i="21"/>
  <c r="N109" i="21" s="1"/>
  <c r="F109" i="21"/>
  <c r="Z31" i="100"/>
  <c r="T36" i="100"/>
  <c r="Z36" i="100" s="1"/>
  <c r="D36" i="37"/>
  <c r="L31" i="37"/>
  <c r="T258" i="18"/>
  <c r="V255" i="18"/>
  <c r="D155" i="69"/>
  <c r="L151" i="69"/>
  <c r="N151" i="69" s="1"/>
  <c r="F151" i="69"/>
  <c r="N31" i="53"/>
  <c r="H36" i="53"/>
  <c r="N36" i="53" s="1"/>
  <c r="T279" i="3"/>
  <c r="V274" i="3"/>
  <c r="T31" i="96"/>
  <c r="Z31" i="96" s="1"/>
  <c r="Z28" i="96"/>
  <c r="H93" i="95"/>
  <c r="J90" i="95"/>
  <c r="H83" i="58"/>
  <c r="N80" i="58"/>
  <c r="P96" i="64"/>
  <c r="X92" i="64"/>
  <c r="Z92" i="64" s="1"/>
  <c r="R92" i="64"/>
  <c r="H103" i="94"/>
  <c r="J100" i="94"/>
  <c r="X31" i="17"/>
  <c r="P36" i="17"/>
  <c r="L31" i="22"/>
  <c r="D36" i="22"/>
  <c r="N31" i="8"/>
  <c r="H36" i="8"/>
  <c r="N36" i="8" s="1"/>
  <c r="D123" i="66"/>
  <c r="L119" i="66"/>
  <c r="N119" i="66" s="1"/>
  <c r="F119" i="66"/>
  <c r="V234" i="15"/>
  <c r="T241" i="12"/>
  <c r="V238" i="12"/>
  <c r="P40" i="55"/>
  <c r="X40" i="55" s="1"/>
  <c r="X37" i="55"/>
  <c r="J106" i="85"/>
  <c r="P100" i="94"/>
  <c r="X96" i="94"/>
  <c r="Z96" i="94" s="1"/>
  <c r="R96" i="94"/>
  <c r="D86" i="73"/>
  <c r="L86" i="73" s="1"/>
  <c r="L83" i="73"/>
  <c r="N83" i="73" s="1"/>
  <c r="P36" i="52"/>
  <c r="X31" i="52"/>
  <c r="T134" i="39"/>
  <c r="V131" i="39"/>
  <c r="D93" i="86"/>
  <c r="L93" i="86" s="1"/>
  <c r="L90" i="86"/>
  <c r="H36" i="7"/>
  <c r="N36" i="7" s="1"/>
  <c r="N31" i="7"/>
  <c r="N31" i="100"/>
  <c r="H36" i="100"/>
  <c r="N36" i="100" s="1"/>
  <c r="L77" i="48"/>
  <c r="D80" i="48"/>
  <c r="F77" i="48"/>
  <c r="D36" i="38"/>
  <c r="L31" i="38"/>
  <c r="T107" i="62"/>
  <c r="X31" i="7"/>
  <c r="P36" i="7"/>
  <c r="L31" i="53"/>
  <c r="D36" i="53"/>
  <c r="D126" i="77"/>
  <c r="L122" i="77"/>
  <c r="N122" i="77" s="1"/>
  <c r="F122" i="77"/>
  <c r="N31" i="34"/>
  <c r="H36" i="34"/>
  <c r="N36" i="34" s="1"/>
  <c r="X31" i="40"/>
  <c r="P36" i="40"/>
  <c r="N31" i="35"/>
  <c r="H36" i="35"/>
  <c r="N36" i="35" s="1"/>
  <c r="T36" i="35"/>
  <c r="Z36" i="35" s="1"/>
  <c r="Z31" i="35"/>
  <c r="N31" i="4"/>
  <c r="H36" i="4"/>
  <c r="N36" i="4" s="1"/>
  <c r="P36" i="4"/>
  <c r="X31" i="4"/>
  <c r="N31" i="13"/>
  <c r="H36" i="13"/>
  <c r="N36" i="13" s="1"/>
  <c r="N31" i="11"/>
  <c r="H36" i="11"/>
  <c r="N36" i="11" s="1"/>
  <c r="N34" i="89"/>
  <c r="H37" i="89"/>
  <c r="L34" i="89"/>
  <c r="P36" i="38"/>
  <c r="X31" i="38"/>
  <c r="Z31" i="7"/>
  <c r="T36" i="7"/>
  <c r="Z36" i="7" s="1"/>
  <c r="L31" i="98"/>
  <c r="D36" i="98"/>
  <c r="L36" i="98" s="1"/>
  <c r="X34" i="89"/>
  <c r="Z34" i="89" s="1"/>
  <c r="P37" i="89"/>
  <c r="N26" i="6"/>
  <c r="H31" i="6"/>
  <c r="N31" i="26"/>
  <c r="H36" i="26"/>
  <c r="N36" i="26" s="1"/>
  <c r="Z85" i="82"/>
  <c r="H36" i="23"/>
  <c r="N36" i="23" s="1"/>
  <c r="N31" i="23"/>
  <c r="X74" i="57"/>
  <c r="Z74" i="57" s="1"/>
  <c r="P78" i="57"/>
  <c r="H110" i="9"/>
  <c r="T86" i="84"/>
  <c r="P63" i="88"/>
  <c r="X63" i="88" s="1"/>
  <c r="Z63" i="88" s="1"/>
  <c r="X60" i="88"/>
  <c r="Z60" i="88" s="1"/>
  <c r="Z31" i="87"/>
  <c r="T34" i="87"/>
  <c r="Z34" i="87" s="1"/>
  <c r="T112" i="71"/>
  <c r="V109" i="71"/>
  <c r="X90" i="86"/>
  <c r="Z90" i="86" s="1"/>
  <c r="P93" i="86"/>
  <c r="X93" i="86" s="1"/>
  <c r="Z93" i="86" s="1"/>
  <c r="N31" i="17"/>
  <c r="H36" i="17"/>
  <c r="N36" i="17" s="1"/>
  <c r="P65" i="60"/>
  <c r="X65" i="60" s="1"/>
  <c r="Z65" i="60" s="1"/>
  <c r="X62" i="60"/>
  <c r="Z62" i="60" s="1"/>
  <c r="P109" i="51"/>
  <c r="X105" i="51"/>
  <c r="Z105" i="51" s="1"/>
  <c r="R105" i="51"/>
  <c r="T36" i="13"/>
  <c r="Z36" i="13" s="1"/>
  <c r="Z31" i="13"/>
  <c r="T98" i="79"/>
  <c r="Z95" i="79"/>
  <c r="P35" i="78"/>
  <c r="X32" i="78"/>
  <c r="Z32" i="78" s="1"/>
  <c r="R32" i="78"/>
  <c r="X122" i="77"/>
  <c r="Z122" i="77" s="1"/>
  <c r="P126" i="77"/>
  <c r="R122" i="77"/>
  <c r="V93" i="95"/>
  <c r="L31" i="34"/>
  <c r="D36" i="34"/>
  <c r="T103" i="24"/>
  <c r="V100" i="24"/>
  <c r="X105" i="71"/>
  <c r="Z105" i="71" s="1"/>
  <c r="P109" i="71"/>
  <c r="R105" i="71"/>
  <c r="D134" i="39"/>
  <c r="L131" i="39"/>
  <c r="F131" i="39"/>
  <c r="N70" i="65"/>
  <c r="H73" i="65"/>
  <c r="N73" i="65" s="1"/>
  <c r="D36" i="13"/>
  <c r="L31" i="13"/>
  <c r="N31" i="52"/>
  <c r="H36" i="52"/>
  <c r="N36" i="52" s="1"/>
  <c r="L85" i="33"/>
  <c r="N85" i="33" s="1"/>
  <c r="D89" i="33"/>
  <c r="F85" i="33"/>
  <c r="P31" i="96"/>
  <c r="X31" i="96" s="1"/>
  <c r="X28" i="96"/>
  <c r="D176" i="30"/>
  <c r="L173" i="30"/>
  <c r="N173" i="30" s="1"/>
  <c r="F173" i="30"/>
  <c r="P78" i="59"/>
  <c r="X75" i="59"/>
  <c r="Z31" i="34"/>
  <c r="T36" i="34"/>
  <c r="Z36" i="34" s="1"/>
  <c r="X31" i="43"/>
  <c r="P36" i="43"/>
  <c r="T112" i="51"/>
  <c r="V109" i="51"/>
  <c r="T86" i="73"/>
  <c r="Z83" i="73"/>
  <c r="V83" i="73"/>
  <c r="J238" i="12"/>
  <c r="H241" i="12"/>
  <c r="Z31" i="10"/>
  <c r="T36" i="10"/>
  <c r="Z36" i="10" s="1"/>
  <c r="X31" i="98"/>
  <c r="P36" i="98"/>
  <c r="L31" i="14"/>
  <c r="D36" i="14"/>
  <c r="D109" i="71"/>
  <c r="L105" i="71"/>
  <c r="N105" i="71" s="1"/>
  <c r="F105" i="71"/>
  <c r="L31" i="4"/>
  <c r="D36" i="4"/>
  <c r="D231" i="15"/>
  <c r="L227" i="15"/>
  <c r="N227" i="15" s="1"/>
  <c r="F227" i="15"/>
  <c r="D36" i="28"/>
  <c r="L31" i="28"/>
  <c r="L49" i="75"/>
  <c r="N49" i="75" s="1"/>
  <c r="D53" i="75"/>
  <c r="F49" i="75"/>
  <c r="V126" i="77"/>
  <c r="T129" i="77"/>
  <c r="H134" i="39"/>
  <c r="N131" i="39"/>
  <c r="J131" i="39"/>
  <c r="H36" i="16"/>
  <c r="N36" i="16" s="1"/>
  <c r="N31" i="16"/>
  <c r="D36" i="44"/>
  <c r="L31" i="44"/>
  <c r="Z31" i="14"/>
  <c r="T36" i="14"/>
  <c r="Z36" i="14" s="1"/>
  <c r="D65" i="91"/>
  <c r="L65" i="91" s="1"/>
  <c r="L62" i="91"/>
  <c r="L90" i="76"/>
  <c r="N90" i="76" s="1"/>
  <c r="D94" i="76"/>
  <c r="Z94" i="76"/>
  <c r="T97" i="76"/>
  <c r="V94" i="76"/>
  <c r="L40" i="55"/>
  <c r="D87" i="56"/>
  <c r="L87" i="56" s="1"/>
  <c r="L84" i="56"/>
  <c r="J96" i="64"/>
  <c r="H99" i="64"/>
  <c r="H40" i="55"/>
  <c r="D36" i="31"/>
  <c r="L31" i="31"/>
  <c r="H126" i="66"/>
  <c r="J123" i="66"/>
  <c r="N77" i="48"/>
  <c r="H80" i="48"/>
  <c r="J77" i="48"/>
  <c r="D124" i="27"/>
  <c r="L120" i="27"/>
  <c r="N120" i="27" s="1"/>
  <c r="F120" i="27"/>
  <c r="P155" i="69"/>
  <c r="X151" i="69"/>
  <c r="Z151" i="69" s="1"/>
  <c r="R151" i="69"/>
  <c r="L83" i="58"/>
  <c r="X94" i="76"/>
  <c r="P97" i="76"/>
  <c r="X97" i="76" s="1"/>
  <c r="X31" i="41"/>
  <c r="P36" i="41"/>
  <c r="H36" i="37"/>
  <c r="N36" i="37" s="1"/>
  <c r="N31" i="37"/>
  <c r="P36" i="14"/>
  <c r="X31" i="14"/>
  <c r="H36" i="41"/>
  <c r="N36" i="41" s="1"/>
  <c r="N31" i="41"/>
  <c r="D36" i="100"/>
  <c r="L31" i="100"/>
  <c r="V92" i="33"/>
  <c r="D32" i="78"/>
  <c r="L28" i="78"/>
  <c r="N28" i="78" s="1"/>
  <c r="F28" i="78"/>
  <c r="T36" i="52"/>
  <c r="Z36" i="52" s="1"/>
  <c r="Z31" i="52"/>
  <c r="Z31" i="49"/>
  <c r="T36" i="49"/>
  <c r="Z36" i="49" s="1"/>
  <c r="Z31" i="98"/>
  <c r="T36" i="98"/>
  <c r="Z36" i="98" s="1"/>
  <c r="T36" i="50"/>
  <c r="Z36" i="50" s="1"/>
  <c r="Z31" i="50"/>
  <c r="H39" i="80"/>
  <c r="N36" i="80"/>
  <c r="Z31" i="26"/>
  <c r="T36" i="26"/>
  <c r="Z36" i="26" s="1"/>
  <c r="P36" i="49"/>
  <c r="X31" i="49"/>
  <c r="X31" i="25"/>
  <c r="P36" i="25"/>
  <c r="H92" i="33"/>
  <c r="J89" i="33"/>
  <c r="L66" i="65"/>
  <c r="D70" i="65"/>
  <c r="H31" i="93"/>
  <c r="N31" i="93" s="1"/>
  <c r="N28" i="93"/>
  <c r="T176" i="30"/>
  <c r="V173" i="30"/>
  <c r="T126" i="66"/>
  <c r="V123" i="66"/>
  <c r="P73" i="65"/>
  <c r="X73" i="65" s="1"/>
  <c r="X70" i="65"/>
  <c r="H36" i="20"/>
  <c r="N36" i="20" s="1"/>
  <c r="N31" i="20"/>
  <c r="X31" i="19"/>
  <c r="P36" i="19"/>
  <c r="H36" i="29"/>
  <c r="N36" i="29" s="1"/>
  <c r="N31" i="29"/>
  <c r="L96" i="24"/>
  <c r="N96" i="24" s="1"/>
  <c r="D100" i="24"/>
  <c r="X131" i="39"/>
  <c r="Z131" i="39" s="1"/>
  <c r="P134" i="39"/>
  <c r="R131" i="39"/>
  <c r="H81" i="67"/>
  <c r="J78" i="67"/>
  <c r="X31" i="10"/>
  <c r="P36" i="10"/>
  <c r="T36" i="20"/>
  <c r="Z36" i="20" s="1"/>
  <c r="Z31" i="20"/>
  <c r="Z80" i="58"/>
  <c r="T83" i="58"/>
  <c r="L274" i="3"/>
  <c r="D279" i="3"/>
  <c r="F274" i="3"/>
  <c r="P81" i="67"/>
  <c r="X81" i="67" s="1"/>
  <c r="Z81" i="67" s="1"/>
  <c r="X78" i="67"/>
  <c r="Z78" i="67" s="1"/>
  <c r="H80" i="97"/>
  <c r="J77" i="97"/>
  <c r="X44" i="90"/>
  <c r="Z44" i="90" s="1"/>
  <c r="P47" i="90"/>
  <c r="X47" i="90" s="1"/>
  <c r="Z47" i="90" s="1"/>
  <c r="L37" i="55"/>
  <c r="N37" i="55" s="1"/>
  <c r="L90" i="95"/>
  <c r="N90" i="95" s="1"/>
  <c r="D93" i="95"/>
  <c r="H36" i="44"/>
  <c r="N36" i="44" s="1"/>
  <c r="N31" i="44"/>
  <c r="Z31" i="16"/>
  <c r="T36" i="16"/>
  <c r="Z36" i="16" s="1"/>
  <c r="D36" i="17"/>
  <c r="L31" i="17"/>
  <c r="D36" i="16"/>
  <c r="L31" i="16"/>
  <c r="T36" i="41"/>
  <c r="Z36" i="41" s="1"/>
  <c r="Z31" i="41"/>
  <c r="T56" i="75"/>
  <c r="Z53" i="75"/>
  <c r="V53" i="75"/>
  <c r="H258" i="18"/>
  <c r="J255" i="18"/>
  <c r="T39" i="80"/>
  <c r="X80" i="58"/>
  <c r="P83" i="58"/>
  <c r="X83" i="58" s="1"/>
  <c r="X31" i="8"/>
  <c r="P36" i="8"/>
  <c r="L31" i="26"/>
  <c r="D36" i="26"/>
  <c r="V134" i="36"/>
  <c r="N31" i="14"/>
  <c r="H36" i="14"/>
  <c r="N36" i="14" s="1"/>
  <c r="L74" i="67"/>
  <c r="N74" i="67" s="1"/>
  <c r="D78" i="67"/>
  <c r="Z31" i="31"/>
  <c r="T36" i="31"/>
  <c r="Z36" i="31" s="1"/>
  <c r="L31" i="52"/>
  <c r="D36" i="52"/>
  <c r="Z31" i="4"/>
  <c r="T36" i="4"/>
  <c r="Z36" i="4" s="1"/>
  <c r="T37" i="89"/>
  <c r="N274" i="3"/>
  <c r="H279" i="3"/>
  <c r="J274" i="3"/>
  <c r="X31" i="37"/>
  <c r="P36" i="37"/>
  <c r="X31" i="87"/>
  <c r="P34" i="87"/>
  <c r="R31" i="87"/>
  <c r="D96" i="64"/>
  <c r="L92" i="64"/>
  <c r="N92" i="64" s="1"/>
  <c r="L105" i="51"/>
  <c r="N105" i="51" s="1"/>
  <c r="D109" i="51"/>
  <c r="F105" i="51"/>
  <c r="H112" i="71"/>
  <c r="J109" i="71"/>
  <c r="P86" i="84"/>
  <c r="X83" i="84"/>
  <c r="Z83" i="84" s="1"/>
  <c r="R83" i="84"/>
  <c r="L83" i="84"/>
  <c r="N83" i="84" s="1"/>
  <c r="D86" i="84"/>
  <c r="L86" i="84" s="1"/>
  <c r="N86" i="84" s="1"/>
  <c r="Z37" i="55"/>
  <c r="T40" i="55"/>
  <c r="X119" i="66"/>
  <c r="Z119" i="66" s="1"/>
  <c r="P123" i="66"/>
  <c r="R119" i="66"/>
  <c r="Z28" i="93"/>
  <c r="T31" i="93"/>
  <c r="Z31" i="93" s="1"/>
  <c r="N31" i="47"/>
  <c r="H36" i="47"/>
  <c r="N36" i="47" s="1"/>
  <c r="D31" i="54"/>
  <c r="L31" i="54" s="1"/>
  <c r="L26" i="54"/>
  <c r="X95" i="92"/>
  <c r="Z95" i="92" s="1"/>
  <c r="P98" i="92"/>
  <c r="R95" i="92"/>
  <c r="P173" i="30"/>
  <c r="X169" i="30"/>
  <c r="Z169" i="30" s="1"/>
  <c r="R169" i="30"/>
  <c r="H98" i="92"/>
  <c r="N95" i="92"/>
  <c r="J95" i="92"/>
  <c r="D98" i="92"/>
  <c r="L98" i="92" s="1"/>
  <c r="L95" i="92"/>
  <c r="D81" i="57"/>
  <c r="L78" i="57"/>
  <c r="N78" i="57" s="1"/>
  <c r="Z91" i="81"/>
  <c r="T94" i="81"/>
  <c r="D36" i="47"/>
  <c r="L31" i="47"/>
  <c r="J176" i="30"/>
  <c r="H107" i="62"/>
  <c r="N104" i="62"/>
  <c r="H34" i="87"/>
  <c r="N34" i="87" s="1"/>
  <c r="N31" i="87"/>
  <c r="X26" i="6"/>
  <c r="P31" i="6"/>
  <c r="X31" i="6" s="1"/>
  <c r="T87" i="83"/>
  <c r="L31" i="5"/>
  <c r="D36" i="5"/>
  <c r="P36" i="31"/>
  <c r="X31" i="31"/>
  <c r="Z31" i="11"/>
  <c r="T36" i="11"/>
  <c r="Z36" i="11" s="1"/>
  <c r="D47" i="90"/>
  <c r="L44" i="90"/>
  <c r="T73" i="65"/>
  <c r="Z70" i="65"/>
  <c r="V70" i="65"/>
  <c r="L31" i="93"/>
  <c r="X104" i="62"/>
  <c r="Z104" i="62" s="1"/>
  <c r="P107" i="62"/>
  <c r="X107" i="62" s="1"/>
  <c r="L31" i="7"/>
  <c r="D36" i="7"/>
  <c r="Z31" i="99"/>
  <c r="T36" i="99"/>
  <c r="Z36" i="99" s="1"/>
  <c r="T127" i="27"/>
  <c r="V124" i="27"/>
  <c r="Z31" i="22"/>
  <c r="T36" i="22"/>
  <c r="Z36" i="22" s="1"/>
  <c r="P255" i="18"/>
  <c r="X251" i="18"/>
  <c r="Z251" i="18" s="1"/>
  <c r="R251" i="18"/>
  <c r="X31" i="5"/>
  <c r="P36" i="5"/>
  <c r="L31" i="23"/>
  <c r="D36" i="23"/>
  <c r="P36" i="53"/>
  <c r="X31" i="53"/>
  <c r="Z26" i="54"/>
  <c r="T31" i="54"/>
  <c r="X31" i="23"/>
  <c r="P36" i="23"/>
  <c r="L31" i="11"/>
  <c r="D36" i="11"/>
  <c r="P67" i="61"/>
  <c r="X67" i="61" s="1"/>
  <c r="Z67" i="61" s="1"/>
  <c r="X64" i="61"/>
  <c r="Z64" i="61" s="1"/>
  <c r="P65" i="91"/>
  <c r="X65" i="91" s="1"/>
  <c r="X62" i="91"/>
  <c r="Z62" i="91" s="1"/>
  <c r="D36" i="32"/>
  <c r="L31" i="32"/>
  <c r="L103" i="9"/>
  <c r="N103" i="9" s="1"/>
  <c r="D107" i="9"/>
  <c r="N31" i="10"/>
  <c r="H36" i="10"/>
  <c r="N36" i="10" s="1"/>
  <c r="H116" i="21"/>
  <c r="J113" i="21"/>
  <c r="V32" i="78"/>
  <c r="T35" i="78"/>
  <c r="V103" i="94"/>
  <c r="N44" i="90"/>
  <c r="H47" i="90"/>
  <c r="N31" i="19"/>
  <c r="H36" i="19"/>
  <c r="N36" i="19" s="1"/>
  <c r="X99" i="85"/>
  <c r="Z99" i="85" s="1"/>
  <c r="P103" i="85"/>
  <c r="R99" i="85"/>
  <c r="X31" i="16"/>
  <c r="P36" i="16"/>
  <c r="P94" i="81"/>
  <c r="X91" i="81"/>
  <c r="T77" i="74"/>
  <c r="D127" i="42"/>
  <c r="L124" i="42"/>
  <c r="N124" i="42" s="1"/>
  <c r="F124" i="42"/>
  <c r="H65" i="91"/>
  <c r="N62" i="91"/>
  <c r="Z31" i="47"/>
  <c r="T36" i="47"/>
  <c r="Z36" i="47" s="1"/>
  <c r="N90" i="86"/>
  <c r="H93" i="86"/>
  <c r="X31" i="11"/>
  <c r="P36" i="11"/>
  <c r="T36" i="46"/>
  <c r="Z36" i="46" s="1"/>
  <c r="Z31" i="46"/>
  <c r="Z75" i="59"/>
  <c r="T78" i="59"/>
  <c r="N64" i="61"/>
  <c r="H67" i="61"/>
  <c r="T36" i="5"/>
  <c r="Z36" i="5" s="1"/>
  <c r="Z31" i="5"/>
  <c r="Z31" i="37"/>
  <c r="T36" i="37"/>
  <c r="Z36" i="37" s="1"/>
  <c r="X87" i="56"/>
  <c r="P39" i="80"/>
  <c r="X36" i="80"/>
  <c r="Z36" i="80" s="1"/>
  <c r="D134" i="36"/>
  <c r="L131" i="36"/>
  <c r="N131" i="36" s="1"/>
  <c r="F131" i="36"/>
  <c r="H112" i="51"/>
  <c r="J109" i="51"/>
  <c r="P77" i="74"/>
  <c r="X74" i="74"/>
  <c r="Z74" i="74" s="1"/>
  <c r="Z31" i="17"/>
  <c r="T36" i="17"/>
  <c r="Z36" i="17" s="1"/>
  <c r="N31" i="31"/>
  <c r="H36" i="31"/>
  <c r="N36" i="31" s="1"/>
  <c r="P89" i="33"/>
  <c r="X85" i="33"/>
  <c r="Z85" i="33" s="1"/>
  <c r="R85" i="33"/>
  <c r="X86" i="95"/>
  <c r="Z86" i="95" s="1"/>
  <c r="P90" i="95"/>
  <c r="X80" i="97"/>
  <c r="R80" i="97"/>
  <c r="D86" i="70"/>
  <c r="L82" i="70"/>
  <c r="N82" i="70" s="1"/>
  <c r="F82" i="70"/>
  <c r="J56" i="75"/>
  <c r="Z31" i="23"/>
  <c r="T36" i="23"/>
  <c r="Z36" i="23" s="1"/>
  <c r="Z65" i="91"/>
  <c r="J108" i="45"/>
  <c r="Z110" i="9"/>
  <c r="T127" i="42"/>
  <c r="V124" i="42"/>
  <c r="X26" i="54"/>
  <c r="P31" i="54"/>
  <c r="X31" i="54" s="1"/>
  <c r="L26" i="6"/>
  <c r="D31" i="6"/>
  <c r="L31" i="6" s="1"/>
  <c r="L31" i="46"/>
  <c r="D36" i="46"/>
  <c r="Z31" i="19"/>
  <c r="T36" i="19"/>
  <c r="Z36" i="19" s="1"/>
  <c r="Z80" i="97"/>
  <c r="V80" i="97"/>
  <c r="N31" i="22"/>
  <c r="H36" i="22"/>
  <c r="N36" i="22" s="1"/>
  <c r="N31" i="46"/>
  <c r="H36" i="46"/>
  <c r="N36" i="46" s="1"/>
  <c r="H31" i="96"/>
  <c r="N31" i="96" s="1"/>
  <c r="N28" i="96"/>
  <c r="T36" i="53"/>
  <c r="Z36" i="53" s="1"/>
  <c r="Z31" i="53"/>
  <c r="D36" i="41"/>
  <c r="L31" i="41"/>
  <c r="Z105" i="45"/>
  <c r="T108" i="45"/>
  <c r="V105" i="45"/>
  <c r="X31" i="20"/>
  <c r="P36" i="20"/>
  <c r="X31" i="99"/>
  <c r="P36" i="99"/>
  <c r="D36" i="40"/>
  <c r="L31" i="40"/>
  <c r="D36" i="25"/>
  <c r="L31" i="25"/>
  <c r="Z31" i="25"/>
  <c r="T36" i="25"/>
  <c r="Z36" i="25" s="1"/>
  <c r="X274" i="3"/>
  <c r="Z274" i="3" s="1"/>
  <c r="P279" i="3"/>
  <c r="R274" i="3"/>
  <c r="D103" i="85"/>
  <c r="L99" i="85"/>
  <c r="N99" i="85" s="1"/>
  <c r="F99" i="85"/>
  <c r="L36" i="5" l="1"/>
  <c r="X36" i="8"/>
  <c r="L36" i="16"/>
  <c r="L36" i="23"/>
  <c r="X36" i="10"/>
  <c r="X36" i="14"/>
  <c r="L36" i="28"/>
  <c r="X36" i="7"/>
  <c r="X36" i="13"/>
  <c r="L36" i="38"/>
  <c r="X36" i="41"/>
  <c r="L36" i="32"/>
  <c r="X36" i="53"/>
  <c r="L36" i="25"/>
  <c r="L36" i="46"/>
  <c r="X36" i="11"/>
  <c r="X36" i="40"/>
  <c r="X36" i="44"/>
  <c r="L36" i="47"/>
  <c r="L36" i="52"/>
  <c r="L36" i="7"/>
  <c r="L36" i="26"/>
  <c r="X36" i="34"/>
  <c r="X36" i="99"/>
  <c r="X36" i="49"/>
  <c r="L36" i="40"/>
  <c r="X36" i="43"/>
  <c r="X36" i="50"/>
  <c r="X36" i="47"/>
  <c r="L36" i="43"/>
  <c r="L36" i="11"/>
  <c r="X36" i="23"/>
  <c r="X36" i="46"/>
  <c r="L36" i="20"/>
  <c r="X36" i="35"/>
  <c r="L36" i="31"/>
  <c r="X36" i="37"/>
  <c r="L36" i="37"/>
  <c r="L36" i="17"/>
  <c r="X36" i="32"/>
  <c r="L36" i="41"/>
  <c r="X36" i="29"/>
  <c r="D234" i="15"/>
  <c r="L231" i="15"/>
  <c r="N231" i="15" s="1"/>
  <c r="F231" i="15"/>
  <c r="L36" i="13"/>
  <c r="L80" i="48"/>
  <c r="F80" i="48"/>
  <c r="V241" i="12"/>
  <c r="X36" i="26"/>
  <c r="L255" i="18"/>
  <c r="N255" i="18" s="1"/>
  <c r="D258" i="18"/>
  <c r="F255" i="18"/>
  <c r="X36" i="28"/>
  <c r="X86" i="70"/>
  <c r="Z86" i="70" s="1"/>
  <c r="P89" i="70"/>
  <c r="R86" i="70"/>
  <c r="Z40" i="55"/>
  <c r="J258" i="18"/>
  <c r="X36" i="19"/>
  <c r="N99" i="64"/>
  <c r="J99" i="64"/>
  <c r="Z98" i="79"/>
  <c r="X36" i="4"/>
  <c r="X36" i="52"/>
  <c r="X36" i="100"/>
  <c r="J112" i="71"/>
  <c r="L107" i="9"/>
  <c r="N107" i="9" s="1"/>
  <c r="D110" i="9"/>
  <c r="L110" i="9" s="1"/>
  <c r="V129" i="77"/>
  <c r="N134" i="36"/>
  <c r="J134" i="36"/>
  <c r="X39" i="80"/>
  <c r="Z39" i="80" s="1"/>
  <c r="D127" i="27"/>
  <c r="L124" i="27"/>
  <c r="N124" i="27" s="1"/>
  <c r="F124" i="27"/>
  <c r="D129" i="77"/>
  <c r="L126" i="77"/>
  <c r="N126" i="77" s="1"/>
  <c r="F126" i="77"/>
  <c r="X108" i="45"/>
  <c r="R108" i="45"/>
  <c r="L127" i="42"/>
  <c r="N127" i="42" s="1"/>
  <c r="F127" i="42"/>
  <c r="X78" i="59"/>
  <c r="Z78" i="59" s="1"/>
  <c r="V258" i="18"/>
  <c r="Z31" i="54"/>
  <c r="X98" i="92"/>
  <c r="Z98" i="92" s="1"/>
  <c r="R98" i="92"/>
  <c r="D35" i="78"/>
  <c r="L32" i="78"/>
  <c r="N32" i="78" s="1"/>
  <c r="F32" i="78"/>
  <c r="V89" i="70"/>
  <c r="N94" i="81"/>
  <c r="D106" i="85"/>
  <c r="L103" i="85"/>
  <c r="N103" i="85" s="1"/>
  <c r="F103" i="85"/>
  <c r="X36" i="20"/>
  <c r="Z73" i="65"/>
  <c r="V73" i="65"/>
  <c r="L81" i="57"/>
  <c r="L96" i="64"/>
  <c r="N96" i="64" s="1"/>
  <c r="D99" i="64"/>
  <c r="L99" i="64" s="1"/>
  <c r="L70" i="65"/>
  <c r="D73" i="65"/>
  <c r="L73" i="65" s="1"/>
  <c r="N39" i="80"/>
  <c r="L109" i="71"/>
  <c r="N109" i="71" s="1"/>
  <c r="D112" i="71"/>
  <c r="F109" i="71"/>
  <c r="Z86" i="73"/>
  <c r="V86" i="73"/>
  <c r="L176" i="30"/>
  <c r="N176" i="30" s="1"/>
  <c r="F176" i="30"/>
  <c r="V112" i="71"/>
  <c r="L36" i="53"/>
  <c r="J103" i="94"/>
  <c r="L36" i="50"/>
  <c r="X124" i="42"/>
  <c r="Z124" i="42" s="1"/>
  <c r="P127" i="42"/>
  <c r="R124" i="42"/>
  <c r="X100" i="24"/>
  <c r="Z100" i="24" s="1"/>
  <c r="P103" i="24"/>
  <c r="R100" i="24"/>
  <c r="V116" i="21"/>
  <c r="X134" i="36"/>
  <c r="Z134" i="36" s="1"/>
  <c r="R134" i="36"/>
  <c r="X98" i="79"/>
  <c r="J127" i="27"/>
  <c r="Z87" i="56"/>
  <c r="N86" i="73"/>
  <c r="J86" i="73"/>
  <c r="X86" i="73"/>
  <c r="R86" i="73"/>
  <c r="L134" i="36"/>
  <c r="F134" i="36"/>
  <c r="P258" i="18"/>
  <c r="X255" i="18"/>
  <c r="Z255" i="18" s="1"/>
  <c r="R255" i="18"/>
  <c r="L109" i="51"/>
  <c r="N109" i="51" s="1"/>
  <c r="D112" i="51"/>
  <c r="F109" i="51"/>
  <c r="P81" i="57"/>
  <c r="X81" i="57" s="1"/>
  <c r="X78" i="57"/>
  <c r="Z78" i="57" s="1"/>
  <c r="L36" i="34"/>
  <c r="N93" i="86"/>
  <c r="X94" i="81"/>
  <c r="V35" i="78"/>
  <c r="V127" i="27"/>
  <c r="N80" i="48"/>
  <c r="J80" i="48"/>
  <c r="L53" i="75"/>
  <c r="N53" i="75" s="1"/>
  <c r="D56" i="75"/>
  <c r="F53" i="75"/>
  <c r="L36" i="14"/>
  <c r="X36" i="38"/>
  <c r="V279" i="3"/>
  <c r="Z279" i="3"/>
  <c r="L36" i="35"/>
  <c r="L36" i="49"/>
  <c r="L94" i="81"/>
  <c r="N78" i="59"/>
  <c r="X113" i="21"/>
  <c r="Z113" i="21" s="1"/>
  <c r="P116" i="21"/>
  <c r="R113" i="21"/>
  <c r="J279" i="3"/>
  <c r="N47" i="90"/>
  <c r="Z94" i="81"/>
  <c r="J80" i="97"/>
  <c r="X279" i="3"/>
  <c r="R279" i="3"/>
  <c r="V127" i="42"/>
  <c r="L47" i="90"/>
  <c r="X34" i="87"/>
  <c r="R34" i="87"/>
  <c r="J81" i="67"/>
  <c r="L134" i="39"/>
  <c r="N134" i="39" s="1"/>
  <c r="F134" i="39"/>
  <c r="X36" i="22"/>
  <c r="N63" i="88"/>
  <c r="L34" i="87"/>
  <c r="F34" i="87"/>
  <c r="V99" i="64"/>
  <c r="X89" i="33"/>
  <c r="Z89" i="33" s="1"/>
  <c r="P92" i="33"/>
  <c r="R89" i="33"/>
  <c r="X173" i="30"/>
  <c r="Z173" i="30" s="1"/>
  <c r="P176" i="30"/>
  <c r="R173" i="30"/>
  <c r="V103" i="24"/>
  <c r="D89" i="70"/>
  <c r="L86" i="70"/>
  <c r="N86" i="70" s="1"/>
  <c r="F86" i="70"/>
  <c r="X36" i="16"/>
  <c r="Z108" i="45"/>
  <c r="V108" i="45"/>
  <c r="X77" i="74"/>
  <c r="Z77" i="74" s="1"/>
  <c r="J92" i="33"/>
  <c r="L36" i="100"/>
  <c r="L36" i="44"/>
  <c r="X36" i="98"/>
  <c r="V112" i="51"/>
  <c r="P112" i="51"/>
  <c r="X109" i="51"/>
  <c r="Z109" i="51" s="1"/>
  <c r="R109" i="51"/>
  <c r="L37" i="89"/>
  <c r="N37" i="89" s="1"/>
  <c r="P103" i="94"/>
  <c r="X100" i="94"/>
  <c r="Z100" i="94" s="1"/>
  <c r="R100" i="94"/>
  <c r="L123" i="66"/>
  <c r="N123" i="66" s="1"/>
  <c r="D126" i="66"/>
  <c r="F123" i="66"/>
  <c r="P99" i="64"/>
  <c r="X96" i="64"/>
  <c r="Z96" i="64" s="1"/>
  <c r="R96" i="64"/>
  <c r="L36" i="99"/>
  <c r="L77" i="97"/>
  <c r="N77" i="97" s="1"/>
  <c r="D80" i="97"/>
  <c r="F77" i="97"/>
  <c r="N107" i="62"/>
  <c r="V56" i="75"/>
  <c r="X134" i="39"/>
  <c r="R134" i="39"/>
  <c r="J126" i="66"/>
  <c r="P112" i="71"/>
  <c r="X109" i="71"/>
  <c r="Z109" i="71" s="1"/>
  <c r="R109" i="71"/>
  <c r="Z107" i="62"/>
  <c r="P93" i="95"/>
  <c r="X93" i="95" s="1"/>
  <c r="Z93" i="95" s="1"/>
  <c r="X90" i="95"/>
  <c r="Z90" i="95" s="1"/>
  <c r="X36" i="5"/>
  <c r="J98" i="92"/>
  <c r="N98" i="92"/>
  <c r="L93" i="95"/>
  <c r="X36" i="25"/>
  <c r="N83" i="58"/>
  <c r="L77" i="74"/>
  <c r="N77" i="74" s="1"/>
  <c r="N97" i="76"/>
  <c r="J97" i="76"/>
  <c r="X56" i="75"/>
  <c r="Z56" i="75" s="1"/>
  <c r="V106" i="85"/>
  <c r="X86" i="84"/>
  <c r="R86" i="84"/>
  <c r="L279" i="3"/>
  <c r="N279" i="3" s="1"/>
  <c r="F279" i="3"/>
  <c r="L89" i="33"/>
  <c r="N89" i="33" s="1"/>
  <c r="D92" i="33"/>
  <c r="F89" i="33"/>
  <c r="P129" i="77"/>
  <c r="X126" i="77"/>
  <c r="Z126" i="77" s="1"/>
  <c r="R126" i="77"/>
  <c r="N31" i="6"/>
  <c r="L113" i="21"/>
  <c r="N113" i="21" s="1"/>
  <c r="D116" i="21"/>
  <c r="F113" i="21"/>
  <c r="L36" i="10"/>
  <c r="J158" i="69"/>
  <c r="X124" i="27"/>
  <c r="Z124" i="27" s="1"/>
  <c r="P127" i="27"/>
  <c r="R124" i="27"/>
  <c r="P241" i="12"/>
  <c r="X238" i="12"/>
  <c r="Z238" i="12" s="1"/>
  <c r="R238" i="12"/>
  <c r="X80" i="48"/>
  <c r="R80" i="48"/>
  <c r="J112" i="51"/>
  <c r="N67" i="61"/>
  <c r="X103" i="85"/>
  <c r="Z103" i="85" s="1"/>
  <c r="P106" i="85"/>
  <c r="R103" i="85"/>
  <c r="L78" i="67"/>
  <c r="N78" i="67" s="1"/>
  <c r="D81" i="67"/>
  <c r="L81" i="67" s="1"/>
  <c r="N81" i="67" s="1"/>
  <c r="N65" i="91"/>
  <c r="J116" i="21"/>
  <c r="X36" i="31"/>
  <c r="Z83" i="58"/>
  <c r="L100" i="24"/>
  <c r="N100" i="24" s="1"/>
  <c r="D103" i="24"/>
  <c r="L103" i="24" s="1"/>
  <c r="V126" i="66"/>
  <c r="Z97" i="76"/>
  <c r="V97" i="76"/>
  <c r="Z86" i="84"/>
  <c r="X37" i="89"/>
  <c r="Z37" i="89" s="1"/>
  <c r="L36" i="22"/>
  <c r="D158" i="69"/>
  <c r="L155" i="69"/>
  <c r="N155" i="69" s="1"/>
  <c r="F155" i="69"/>
  <c r="X87" i="83"/>
  <c r="Z87" i="83" s="1"/>
  <c r="L36" i="8"/>
  <c r="L36" i="29"/>
  <c r="L107" i="62"/>
  <c r="Z31" i="6"/>
  <c r="D103" i="94"/>
  <c r="L100" i="94"/>
  <c r="N100" i="94" s="1"/>
  <c r="F100" i="94"/>
  <c r="J241" i="12"/>
  <c r="N110" i="9"/>
  <c r="Z134" i="39"/>
  <c r="V134" i="39"/>
  <c r="N93" i="95"/>
  <c r="J93" i="95"/>
  <c r="L238" i="12"/>
  <c r="N238" i="12" s="1"/>
  <c r="D241" i="12"/>
  <c r="F238" i="12"/>
  <c r="D108" i="45"/>
  <c r="L105" i="45"/>
  <c r="N105" i="45" s="1"/>
  <c r="F105" i="45"/>
  <c r="L36" i="19"/>
  <c r="N81" i="57"/>
  <c r="Z81" i="57"/>
  <c r="P126" i="66"/>
  <c r="X123" i="66"/>
  <c r="Z123" i="66" s="1"/>
  <c r="R123" i="66"/>
  <c r="V176" i="30"/>
  <c r="P158" i="69"/>
  <c r="X155" i="69"/>
  <c r="Z155" i="69" s="1"/>
  <c r="R155" i="69"/>
  <c r="N40" i="55"/>
  <c r="D97" i="76"/>
  <c r="L97" i="76" s="1"/>
  <c r="L94" i="76"/>
  <c r="N94" i="76" s="1"/>
  <c r="J134" i="39"/>
  <c r="L36" i="4"/>
  <c r="X35" i="78"/>
  <c r="Z35" i="78" s="1"/>
  <c r="R35" i="78"/>
  <c r="X36" i="17"/>
  <c r="Z80" i="48"/>
  <c r="V80" i="48"/>
  <c r="N31" i="54"/>
  <c r="L31" i="96"/>
  <c r="X231" i="15"/>
  <c r="Z231" i="15" s="1"/>
  <c r="P234" i="15"/>
  <c r="R231" i="15"/>
  <c r="N103" i="24"/>
  <c r="J103" i="24"/>
  <c r="N87" i="56"/>
  <c r="X176" i="30" l="1"/>
  <c r="Z176" i="30" s="1"/>
  <c r="R176" i="30"/>
  <c r="L106" i="85"/>
  <c r="N106" i="85" s="1"/>
  <c r="F106" i="85"/>
  <c r="X129" i="77"/>
  <c r="Z129" i="77" s="1"/>
  <c r="R129" i="77"/>
  <c r="X103" i="94"/>
  <c r="Z103" i="94" s="1"/>
  <c r="R103" i="94"/>
  <c r="L258" i="18"/>
  <c r="N258" i="18" s="1"/>
  <c r="F258" i="18"/>
  <c r="X241" i="12"/>
  <c r="Z241" i="12" s="1"/>
  <c r="R241" i="12"/>
  <c r="X92" i="33"/>
  <c r="Z92" i="33" s="1"/>
  <c r="R92" i="33"/>
  <c r="X112" i="71"/>
  <c r="Z112" i="71" s="1"/>
  <c r="R112" i="71"/>
  <c r="X234" i="15"/>
  <c r="Z234" i="15" s="1"/>
  <c r="R234" i="15"/>
  <c r="L35" i="78"/>
  <c r="N35" i="78" s="1"/>
  <c r="F35" i="78"/>
  <c r="X106" i="85"/>
  <c r="Z106" i="85" s="1"/>
  <c r="R106" i="85"/>
  <c r="X112" i="51"/>
  <c r="Z112" i="51" s="1"/>
  <c r="R112" i="51"/>
  <c r="X99" i="64"/>
  <c r="Z99" i="64" s="1"/>
  <c r="R99" i="64"/>
  <c r="L56" i="75"/>
  <c r="N56" i="75" s="1"/>
  <c r="F56" i="75"/>
  <c r="X103" i="24"/>
  <c r="Z103" i="24" s="1"/>
  <c r="R103" i="24"/>
  <c r="L92" i="33"/>
  <c r="N92" i="33" s="1"/>
  <c r="F92" i="33"/>
  <c r="L116" i="21"/>
  <c r="N116" i="21" s="1"/>
  <c r="F116" i="21"/>
  <c r="L89" i="70"/>
  <c r="N89" i="70" s="1"/>
  <c r="F89" i="70"/>
  <c r="X116" i="21"/>
  <c r="Z116" i="21" s="1"/>
  <c r="R116" i="21"/>
  <c r="L129" i="77"/>
  <c r="N129" i="77" s="1"/>
  <c r="F129" i="77"/>
  <c r="X89" i="70"/>
  <c r="Z89" i="70" s="1"/>
  <c r="R89" i="70"/>
  <c r="L241" i="12"/>
  <c r="N241" i="12" s="1"/>
  <c r="F241" i="12"/>
  <c r="X127" i="27"/>
  <c r="Z127" i="27" s="1"/>
  <c r="R127" i="27"/>
  <c r="L80" i="97"/>
  <c r="N80" i="97" s="1"/>
  <c r="F80" i="97"/>
  <c r="L158" i="69"/>
  <c r="N158" i="69" s="1"/>
  <c r="F158" i="69"/>
  <c r="L126" i="66"/>
  <c r="N126" i="66" s="1"/>
  <c r="F126" i="66"/>
  <c r="L108" i="45"/>
  <c r="N108" i="45" s="1"/>
  <c r="F108" i="45"/>
  <c r="X127" i="42"/>
  <c r="Z127" i="42" s="1"/>
  <c r="R127" i="42"/>
  <c r="X258" i="18"/>
  <c r="Z258" i="18" s="1"/>
  <c r="R258" i="18"/>
  <c r="X126" i="66"/>
  <c r="Z126" i="66" s="1"/>
  <c r="R126" i="66"/>
  <c r="X158" i="69"/>
  <c r="Z158" i="69" s="1"/>
  <c r="R158" i="69"/>
  <c r="L103" i="94"/>
  <c r="N103" i="94" s="1"/>
  <c r="F103" i="94"/>
  <c r="L112" i="51"/>
  <c r="N112" i="51" s="1"/>
  <c r="F112" i="51"/>
  <c r="L112" i="71"/>
  <c r="N112" i="71" s="1"/>
  <c r="F112" i="71"/>
  <c r="L127" i="27"/>
  <c r="N127" i="27" s="1"/>
  <c r="F127" i="27"/>
  <c r="L234" i="15"/>
  <c r="N234" i="15" s="1"/>
  <c r="F234" i="15"/>
</calcChain>
</file>

<file path=xl/sharedStrings.xml><?xml version="1.0" encoding="utf-8"?>
<sst xmlns="http://schemas.openxmlformats.org/spreadsheetml/2006/main" count="2844" uniqueCount="315">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</sst>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3" fillId="0" borderId="0" xfId="0" applyFont="1" applyAlignment="1">
      <alignment horizontal="left"/>
    </xf>
    <xf numFmtId="0" fontId="4" fillId="0" borderId="0" xfId="0" applyFont="1"/>
    <xf numFmtId="164" fontId="2" fillId="0" borderId="0" xfId="1" applyNumberFormat="1" applyFont="1" applyFill="1" applyAlignment="1">
      <alignment horizontal="centerContinuous"/>
    </xf>
    <xf numFmtId="166" fontId="3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0" fillId="0" borderId="0" xfId="0" applyBorder="1"/>
    <xf numFmtId="0" fontId="5" fillId="0" borderId="0" xfId="0" applyFont="1" applyFill="1"/>
    <xf numFmtId="165" fontId="0" fillId="0" borderId="0" xfId="0" applyNumberFormat="1"/>
    <xf numFmtId="0" fontId="2" fillId="0" borderId="0" xfId="0" applyFont="1" applyFill="1" applyBorder="1"/>
    <xf numFmtId="49" fontId="2" fillId="2" borderId="1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4"/>
  <sheetViews>
    <sheetView tabSelected="1" zoomScale="80" workbookViewId="0">
      <pane xSplit="3" ySplit="10" topLeftCell="D26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813766.71</v>
      </c>
      <c r="E12" s="4"/>
      <c r="F12" s="12"/>
      <c r="G12" s="4"/>
      <c r="H12" s="4">
        <f>SUM(OSRRefH13x_0)</f>
        <v>1187116</v>
      </c>
      <c r="I12" s="4"/>
      <c r="J12" s="12"/>
      <c r="K12" s="4"/>
      <c r="L12" s="4">
        <f t="shared" ref="L12:L98" si="0">+D12-H12</f>
        <v>-373349.29000000004</v>
      </c>
      <c r="M12" s="4"/>
      <c r="N12" s="12">
        <f t="shared" ref="N12:N98" si="1">IF(H12=0,0,L12/H12)</f>
        <v>-0.31450110182998126</v>
      </c>
      <c r="O12" s="10"/>
      <c r="P12" s="4">
        <f>SUM(OSRRefP13x_0)</f>
        <v>7965152.7000000011</v>
      </c>
      <c r="Q12" s="4"/>
      <c r="R12" s="12"/>
      <c r="S12" s="4"/>
      <c r="T12" s="4">
        <f>SUM(OSRRefT13x_0)</f>
        <v>13836120</v>
      </c>
      <c r="U12" s="4"/>
      <c r="V12" s="12"/>
      <c r="W12" s="4"/>
      <c r="X12" s="4">
        <f t="shared" ref="X12:X98" si="2">+P12-T12</f>
        <v>-5870967.2999999989</v>
      </c>
      <c r="Y12" s="4"/>
      <c r="Z12" s="12">
        <f t="shared" ref="Z12:Z98" si="3">IF(T12=0,0,X12/T12)</f>
        <v>-0.42432179686212601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-11598.32</f>
        <v>-11598.32</v>
      </c>
      <c r="E13" s="2"/>
      <c r="F13" s="19"/>
      <c r="G13" s="2"/>
      <c r="H13" s="2">
        <v>474889</v>
      </c>
      <c r="I13" s="2"/>
      <c r="J13" s="19"/>
      <c r="K13" s="2"/>
      <c r="L13" s="2">
        <f t="shared" si="0"/>
        <v>-486487.32</v>
      </c>
      <c r="M13" s="2"/>
      <c r="N13" s="19">
        <f t="shared" si="1"/>
        <v>-1.024423223111085</v>
      </c>
      <c r="O13" s="11"/>
      <c r="P13" s="2">
        <f>-122656.41</f>
        <v>-122656.41</v>
      </c>
      <c r="Q13" s="2"/>
      <c r="R13" s="19"/>
      <c r="S13" s="2"/>
      <c r="T13" s="2">
        <v>9313671</v>
      </c>
      <c r="U13" s="2"/>
      <c r="V13" s="19"/>
      <c r="W13" s="2"/>
      <c r="X13" s="2">
        <f t="shared" si="2"/>
        <v>-9436327.4100000001</v>
      </c>
      <c r="Y13" s="2"/>
      <c r="Z13" s="19">
        <f t="shared" si="3"/>
        <v>-1.0131695021222029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--7739.23</f>
        <v>7739.23</v>
      </c>
      <c r="E14" s="2"/>
      <c r="F14" s="19"/>
      <c r="G14" s="2"/>
      <c r="H14" s="2"/>
      <c r="I14" s="2"/>
      <c r="J14" s="19"/>
      <c r="K14" s="2"/>
      <c r="L14" s="2">
        <f t="shared" si="0"/>
        <v>7739.23</v>
      </c>
      <c r="M14" s="2"/>
      <c r="N14" s="19">
        <f t="shared" si="1"/>
        <v>0</v>
      </c>
      <c r="O14" s="11"/>
      <c r="P14" s="2">
        <f>--1232463.24</f>
        <v>1232463.24</v>
      </c>
      <c r="Q14" s="2"/>
      <c r="R14" s="19"/>
      <c r="S14" s="2"/>
      <c r="T14" s="2"/>
      <c r="U14" s="2"/>
      <c r="V14" s="19"/>
      <c r="W14" s="2"/>
      <c r="X14" s="2">
        <f t="shared" si="2"/>
        <v>1232463.24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--1662.85</f>
        <v>1662.85</v>
      </c>
      <c r="E15" s="2"/>
      <c r="F15" s="19"/>
      <c r="G15" s="2"/>
      <c r="H15" s="2"/>
      <c r="I15" s="2"/>
      <c r="J15" s="19"/>
      <c r="K15" s="2"/>
      <c r="L15" s="2">
        <f t="shared" si="0"/>
        <v>1662.85</v>
      </c>
      <c r="M15" s="2"/>
      <c r="N15" s="19">
        <f t="shared" si="1"/>
        <v>0</v>
      </c>
      <c r="O15" s="11"/>
      <c r="P15" s="2">
        <f>--576797.33</f>
        <v>576797.32999999996</v>
      </c>
      <c r="Q15" s="2"/>
      <c r="R15" s="19"/>
      <c r="S15" s="2"/>
      <c r="T15" s="2"/>
      <c r="U15" s="2"/>
      <c r="V15" s="19"/>
      <c r="W15" s="2"/>
      <c r="X15" s="2">
        <f t="shared" si="2"/>
        <v>576797.32999999996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--16.37</f>
        <v>16.37</v>
      </c>
      <c r="E21" s="2"/>
      <c r="F21" s="19"/>
      <c r="G21" s="2"/>
      <c r="H21" s="2"/>
      <c r="I21" s="2"/>
      <c r="J21" s="19"/>
      <c r="K21" s="2"/>
      <c r="L21" s="2">
        <f t="shared" si="0"/>
        <v>16.37</v>
      </c>
      <c r="M21" s="2"/>
      <c r="N21" s="19">
        <f t="shared" si="1"/>
        <v>0</v>
      </c>
      <c r="O21" s="11"/>
      <c r="P21" s="2">
        <f>--464.75</f>
        <v>464.75</v>
      </c>
      <c r="Q21" s="2"/>
      <c r="R21" s="19"/>
      <c r="S21" s="2"/>
      <c r="T21" s="2"/>
      <c r="U21" s="2"/>
      <c r="V21" s="19"/>
      <c r="W21" s="2"/>
      <c r="X21" s="2">
        <f t="shared" si="2"/>
        <v>464.75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--3028</f>
        <v>3028</v>
      </c>
      <c r="E22" s="2"/>
      <c r="F22" s="19"/>
      <c r="G22" s="2"/>
      <c r="H22" s="2"/>
      <c r="I22" s="2"/>
      <c r="J22" s="19"/>
      <c r="K22" s="2"/>
      <c r="L22" s="2">
        <f t="shared" si="0"/>
        <v>3028</v>
      </c>
      <c r="M22" s="2"/>
      <c r="N22" s="19">
        <f t="shared" si="1"/>
        <v>0</v>
      </c>
      <c r="O22" s="11"/>
      <c r="P22" s="2">
        <f>--57512.32</f>
        <v>57512.32</v>
      </c>
      <c r="Q22" s="2"/>
      <c r="R22" s="19"/>
      <c r="S22" s="2"/>
      <c r="T22" s="2"/>
      <c r="U22" s="2"/>
      <c r="V22" s="19"/>
      <c r="W22" s="2"/>
      <c r="X22" s="2">
        <f t="shared" si="2"/>
        <v>57512.32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--3372.76</f>
        <v>3372.76</v>
      </c>
      <c r="E23" s="2"/>
      <c r="F23" s="19"/>
      <c r="G23" s="2"/>
      <c r="H23" s="2"/>
      <c r="I23" s="2"/>
      <c r="J23" s="19"/>
      <c r="K23" s="2"/>
      <c r="L23" s="2">
        <f t="shared" si="0"/>
        <v>3372.76</v>
      </c>
      <c r="M23" s="2"/>
      <c r="N23" s="19">
        <f t="shared" si="1"/>
        <v>0</v>
      </c>
      <c r="O23" s="11"/>
      <c r="P23" s="2">
        <f>--44249.38</f>
        <v>44249.38</v>
      </c>
      <c r="Q23" s="2"/>
      <c r="R23" s="19"/>
      <c r="S23" s="2"/>
      <c r="T23" s="2"/>
      <c r="U23" s="2"/>
      <c r="V23" s="19"/>
      <c r="W23" s="2"/>
      <c r="X23" s="2">
        <f t="shared" si="2"/>
        <v>44249.38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--434.03</f>
        <v>434.03</v>
      </c>
      <c r="E24" s="2"/>
      <c r="F24" s="19"/>
      <c r="G24" s="2"/>
      <c r="H24" s="2"/>
      <c r="I24" s="2"/>
      <c r="J24" s="19"/>
      <c r="K24" s="2"/>
      <c r="L24" s="2">
        <f t="shared" si="0"/>
        <v>434.03</v>
      </c>
      <c r="M24" s="2"/>
      <c r="N24" s="19">
        <f t="shared" si="1"/>
        <v>0</v>
      </c>
      <c r="O24" s="11"/>
      <c r="P24" s="2">
        <f>--3614.87</f>
        <v>3614.87</v>
      </c>
      <c r="Q24" s="2"/>
      <c r="R24" s="19"/>
      <c r="S24" s="2"/>
      <c r="T24" s="2"/>
      <c r="U24" s="2"/>
      <c r="V24" s="19"/>
      <c r="W24" s="2"/>
      <c r="X24" s="2">
        <f t="shared" si="2"/>
        <v>3614.87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--82653.17</f>
        <v>82653.17</v>
      </c>
      <c r="E27" s="2"/>
      <c r="F27" s="19"/>
      <c r="G27" s="2"/>
      <c r="H27" s="2"/>
      <c r="I27" s="2"/>
      <c r="J27" s="19"/>
      <c r="K27" s="2"/>
      <c r="L27" s="2">
        <f t="shared" si="0"/>
        <v>82653.17</v>
      </c>
      <c r="M27" s="2"/>
      <c r="N27" s="19">
        <f t="shared" si="1"/>
        <v>0</v>
      </c>
      <c r="O27" s="11"/>
      <c r="P27" s="2">
        <f>--754001.15</f>
        <v>754001.15</v>
      </c>
      <c r="Q27" s="2"/>
      <c r="R27" s="19"/>
      <c r="S27" s="2"/>
      <c r="T27" s="2"/>
      <c r="U27" s="2"/>
      <c r="V27" s="19"/>
      <c r="W27" s="2"/>
      <c r="X27" s="2">
        <f t="shared" si="2"/>
        <v>754001.15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--47817.47</f>
        <v>47817.47</v>
      </c>
      <c r="E28" s="2"/>
      <c r="F28" s="19"/>
      <c r="G28" s="2"/>
      <c r="H28" s="2"/>
      <c r="I28" s="2"/>
      <c r="J28" s="19"/>
      <c r="K28" s="2"/>
      <c r="L28" s="2">
        <f t="shared" si="0"/>
        <v>47817.47</v>
      </c>
      <c r="M28" s="2"/>
      <c r="N28" s="19">
        <f t="shared" si="1"/>
        <v>0</v>
      </c>
      <c r="O28" s="11"/>
      <c r="P28" s="2">
        <f>--324016.78</f>
        <v>324016.78000000003</v>
      </c>
      <c r="Q28" s="2"/>
      <c r="R28" s="19"/>
      <c r="S28" s="2"/>
      <c r="T28" s="2"/>
      <c r="U28" s="2"/>
      <c r="V28" s="19"/>
      <c r="W28" s="2"/>
      <c r="X28" s="2">
        <f t="shared" si="2"/>
        <v>324016.78000000003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--11053.28</f>
        <v>11053.28</v>
      </c>
      <c r="E29" s="2"/>
      <c r="F29" s="19"/>
      <c r="G29" s="2"/>
      <c r="H29" s="2"/>
      <c r="I29" s="2"/>
      <c r="J29" s="19"/>
      <c r="K29" s="2"/>
      <c r="L29" s="2">
        <f t="shared" si="0"/>
        <v>11053.28</v>
      </c>
      <c r="M29" s="2"/>
      <c r="N29" s="19">
        <f t="shared" si="1"/>
        <v>0</v>
      </c>
      <c r="O29" s="11"/>
      <c r="P29" s="2">
        <f>--90048.2</f>
        <v>90048.2</v>
      </c>
      <c r="Q29" s="2"/>
      <c r="R29" s="19"/>
      <c r="S29" s="2"/>
      <c r="T29" s="2"/>
      <c r="U29" s="2"/>
      <c r="V29" s="19"/>
      <c r="W29" s="2"/>
      <c r="X29" s="2">
        <f t="shared" si="2"/>
        <v>90048.2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--8285.51</f>
        <v>8285.51</v>
      </c>
      <c r="E30" s="2"/>
      <c r="F30" s="19"/>
      <c r="G30" s="2"/>
      <c r="H30" s="2"/>
      <c r="I30" s="2"/>
      <c r="J30" s="19"/>
      <c r="K30" s="2"/>
      <c r="L30" s="2">
        <f t="shared" si="0"/>
        <v>8285.51</v>
      </c>
      <c r="M30" s="2"/>
      <c r="N30" s="19">
        <f t="shared" si="1"/>
        <v>0</v>
      </c>
      <c r="O30" s="11"/>
      <c r="P30" s="2">
        <f>--132436.17</f>
        <v>132436.17000000001</v>
      </c>
      <c r="Q30" s="2"/>
      <c r="R30" s="19"/>
      <c r="S30" s="2"/>
      <c r="T30" s="2"/>
      <c r="U30" s="2"/>
      <c r="V30" s="19"/>
      <c r="W30" s="2"/>
      <c r="X30" s="2">
        <f t="shared" si="2"/>
        <v>132436.17000000001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--1774.45</f>
        <v>1774.45</v>
      </c>
      <c r="E31" s="2"/>
      <c r="F31" s="19"/>
      <c r="G31" s="2"/>
      <c r="H31" s="2"/>
      <c r="I31" s="2"/>
      <c r="J31" s="19"/>
      <c r="K31" s="2"/>
      <c r="L31" s="2">
        <f t="shared" si="0"/>
        <v>1774.45</v>
      </c>
      <c r="M31" s="2"/>
      <c r="N31" s="19">
        <f t="shared" si="1"/>
        <v>0</v>
      </c>
      <c r="O31" s="11"/>
      <c r="P31" s="2">
        <f>--31346.85</f>
        <v>31346.85</v>
      </c>
      <c r="Q31" s="2"/>
      <c r="R31" s="19"/>
      <c r="S31" s="2"/>
      <c r="T31" s="2"/>
      <c r="U31" s="2"/>
      <c r="V31" s="19"/>
      <c r="W31" s="2"/>
      <c r="X31" s="2">
        <f t="shared" si="2"/>
        <v>31346.85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--8707.87</f>
        <v>8707.8700000000008</v>
      </c>
      <c r="E32" s="2"/>
      <c r="F32" s="19"/>
      <c r="G32" s="2"/>
      <c r="H32" s="2"/>
      <c r="I32" s="2"/>
      <c r="J32" s="19"/>
      <c r="K32" s="2"/>
      <c r="L32" s="2">
        <f t="shared" si="0"/>
        <v>8707.8700000000008</v>
      </c>
      <c r="M32" s="2"/>
      <c r="N32" s="19">
        <f t="shared" si="1"/>
        <v>0</v>
      </c>
      <c r="O32" s="11"/>
      <c r="P32" s="2">
        <f>--144197.44</f>
        <v>144197.44</v>
      </c>
      <c r="Q32" s="2"/>
      <c r="R32" s="19"/>
      <c r="S32" s="2"/>
      <c r="T32" s="2"/>
      <c r="U32" s="2"/>
      <c r="V32" s="19"/>
      <c r="W32" s="2"/>
      <c r="X32" s="2">
        <f t="shared" si="2"/>
        <v>144197.44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--2604.58</f>
        <v>2604.58</v>
      </c>
      <c r="E33" s="2"/>
      <c r="F33" s="19"/>
      <c r="G33" s="2"/>
      <c r="H33" s="2"/>
      <c r="I33" s="2"/>
      <c r="J33" s="19"/>
      <c r="K33" s="2"/>
      <c r="L33" s="2">
        <f t="shared" si="0"/>
        <v>2604.58</v>
      </c>
      <c r="M33" s="2"/>
      <c r="N33" s="19">
        <f t="shared" si="1"/>
        <v>0</v>
      </c>
      <c r="O33" s="11"/>
      <c r="P33" s="2">
        <f>--25569.06</f>
        <v>25569.06</v>
      </c>
      <c r="Q33" s="2"/>
      <c r="R33" s="19"/>
      <c r="S33" s="2"/>
      <c r="T33" s="2"/>
      <c r="U33" s="2"/>
      <c r="V33" s="19"/>
      <c r="W33" s="2"/>
      <c r="X33" s="2">
        <f t="shared" si="2"/>
        <v>25569.06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--51782.31</f>
        <v>51782.31</v>
      </c>
      <c r="E34" s="2"/>
      <c r="F34" s="19"/>
      <c r="G34" s="2"/>
      <c r="H34" s="2"/>
      <c r="I34" s="2"/>
      <c r="J34" s="19"/>
      <c r="K34" s="2"/>
      <c r="L34" s="2">
        <f t="shared" si="0"/>
        <v>51782.31</v>
      </c>
      <c r="M34" s="2"/>
      <c r="N34" s="19">
        <f t="shared" si="1"/>
        <v>0</v>
      </c>
      <c r="O34" s="11"/>
      <c r="P34" s="2">
        <f>--331940.11</f>
        <v>331940.11</v>
      </c>
      <c r="Q34" s="2"/>
      <c r="R34" s="19"/>
      <c r="S34" s="2"/>
      <c r="T34" s="2"/>
      <c r="U34" s="2"/>
      <c r="V34" s="19"/>
      <c r="W34" s="2"/>
      <c r="X34" s="2">
        <f t="shared" si="2"/>
        <v>331940.11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--163.51</f>
        <v>163.51</v>
      </c>
      <c r="E35" s="2"/>
      <c r="F35" s="19"/>
      <c r="G35" s="2"/>
      <c r="H35" s="2"/>
      <c r="I35" s="2"/>
      <c r="J35" s="19"/>
      <c r="K35" s="2"/>
      <c r="L35" s="2">
        <f t="shared" si="0"/>
        <v>163.51</v>
      </c>
      <c r="M35" s="2"/>
      <c r="N35" s="19">
        <f t="shared" si="1"/>
        <v>0</v>
      </c>
      <c r="O35" s="11"/>
      <c r="P35" s="2">
        <f>--923.72</f>
        <v>923.72</v>
      </c>
      <c r="Q35" s="2"/>
      <c r="R35" s="19"/>
      <c r="S35" s="2"/>
      <c r="T35" s="2"/>
      <c r="U35" s="2"/>
      <c r="V35" s="19"/>
      <c r="W35" s="2"/>
      <c r="X35" s="2">
        <f t="shared" si="2"/>
        <v>923.72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--974.91</f>
        <v>974.91</v>
      </c>
      <c r="Q36" s="2"/>
      <c r="R36" s="19"/>
      <c r="S36" s="2"/>
      <c r="T36" s="2"/>
      <c r="U36" s="2"/>
      <c r="V36" s="19"/>
      <c r="W36" s="2"/>
      <c r="X36" s="2">
        <f t="shared" si="2"/>
        <v>974.91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>--1204.4</f>
        <v>1204.4000000000001</v>
      </c>
      <c r="E37" s="2"/>
      <c r="F37" s="19"/>
      <c r="G37" s="2"/>
      <c r="H37" s="2"/>
      <c r="I37" s="2"/>
      <c r="J37" s="19"/>
      <c r="K37" s="2"/>
      <c r="L37" s="2">
        <f t="shared" si="0"/>
        <v>1204.4000000000001</v>
      </c>
      <c r="M37" s="2"/>
      <c r="N37" s="19">
        <f t="shared" si="1"/>
        <v>0</v>
      </c>
      <c r="O37" s="11"/>
      <c r="P37" s="2">
        <f>--60539.2</f>
        <v>60539.199999999997</v>
      </c>
      <c r="Q37" s="2"/>
      <c r="R37" s="19"/>
      <c r="S37" s="2"/>
      <c r="T37" s="2"/>
      <c r="U37" s="2"/>
      <c r="V37" s="19"/>
      <c r="W37" s="2"/>
      <c r="X37" s="2">
        <f t="shared" si="2"/>
        <v>60539.199999999997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--407027.89</f>
        <v>407027.89</v>
      </c>
      <c r="E38" s="2"/>
      <c r="F38" s="19"/>
      <c r="G38" s="2"/>
      <c r="H38" s="2"/>
      <c r="I38" s="2"/>
      <c r="J38" s="19"/>
      <c r="K38" s="2"/>
      <c r="L38" s="2">
        <f t="shared" si="0"/>
        <v>407027.89</v>
      </c>
      <c r="M38" s="2"/>
      <c r="N38" s="19">
        <f t="shared" si="1"/>
        <v>0</v>
      </c>
      <c r="O38" s="11"/>
      <c r="P38" s="2">
        <f>--1657866.36</f>
        <v>1657866.36</v>
      </c>
      <c r="Q38" s="2"/>
      <c r="R38" s="19"/>
      <c r="S38" s="2"/>
      <c r="T38" s="2"/>
      <c r="U38" s="2"/>
      <c r="V38" s="19"/>
      <c r="W38" s="2"/>
      <c r="X38" s="2">
        <f t="shared" si="2"/>
        <v>1657866.36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--22860.44</f>
        <v>22860.44</v>
      </c>
      <c r="E39" s="2"/>
      <c r="F39" s="19"/>
      <c r="G39" s="2"/>
      <c r="H39" s="2"/>
      <c r="I39" s="2"/>
      <c r="J39" s="19"/>
      <c r="K39" s="2"/>
      <c r="L39" s="2">
        <f t="shared" si="0"/>
        <v>22860.44</v>
      </c>
      <c r="M39" s="2"/>
      <c r="N39" s="19">
        <f t="shared" si="1"/>
        <v>0</v>
      </c>
      <c r="O39" s="11"/>
      <c r="P39" s="2">
        <f>--119669.26</f>
        <v>119669.26</v>
      </c>
      <c r="Q39" s="2"/>
      <c r="R39" s="19"/>
      <c r="S39" s="2"/>
      <c r="T39" s="2"/>
      <c r="U39" s="2"/>
      <c r="V39" s="19"/>
      <c r="W39" s="2"/>
      <c r="X39" s="2">
        <f t="shared" si="2"/>
        <v>119669.26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>--219.98</f>
        <v>219.98</v>
      </c>
      <c r="E40" s="2"/>
      <c r="F40" s="19"/>
      <c r="G40" s="2"/>
      <c r="H40" s="2"/>
      <c r="I40" s="2"/>
      <c r="J40" s="19"/>
      <c r="K40" s="2"/>
      <c r="L40" s="2">
        <f t="shared" si="0"/>
        <v>219.98</v>
      </c>
      <c r="M40" s="2"/>
      <c r="N40" s="19">
        <f t="shared" si="1"/>
        <v>0</v>
      </c>
      <c r="O40" s="11"/>
      <c r="P40" s="2">
        <f>--3098.91</f>
        <v>3098.91</v>
      </c>
      <c r="Q40" s="2"/>
      <c r="R40" s="19"/>
      <c r="S40" s="2"/>
      <c r="T40" s="2"/>
      <c r="U40" s="2"/>
      <c r="V40" s="19"/>
      <c r="W40" s="2"/>
      <c r="X40" s="2">
        <f t="shared" si="2"/>
        <v>3098.91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--503.73</f>
        <v>503.73</v>
      </c>
      <c r="E41" s="2"/>
      <c r="F41" s="19"/>
      <c r="G41" s="2"/>
      <c r="H41" s="2"/>
      <c r="I41" s="2"/>
      <c r="J41" s="19"/>
      <c r="K41" s="2"/>
      <c r="L41" s="2">
        <f t="shared" si="0"/>
        <v>503.73</v>
      </c>
      <c r="M41" s="2"/>
      <c r="N41" s="19">
        <f t="shared" si="1"/>
        <v>0</v>
      </c>
      <c r="O41" s="11"/>
      <c r="P41" s="2">
        <f>--59450.9</f>
        <v>59450.9</v>
      </c>
      <c r="Q41" s="2"/>
      <c r="R41" s="19"/>
      <c r="S41" s="2"/>
      <c r="T41" s="2"/>
      <c r="U41" s="2"/>
      <c r="V41" s="19"/>
      <c r="W41" s="2"/>
      <c r="X41" s="2">
        <f t="shared" si="2"/>
        <v>59450.9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"4095", " - ", "TAXABLE SALES-CUSTOMER SERVICE")</f>
        <v xml:space="preserve">          4095 - TAXABLE SALES-CUSTOMER SERVICE</v>
      </c>
      <c r="C42" s="11"/>
      <c r="D42" s="2">
        <f>--775.28</f>
        <v>775.28</v>
      </c>
      <c r="E42" s="2"/>
      <c r="F42" s="19"/>
      <c r="G42" s="2"/>
      <c r="H42" s="2"/>
      <c r="I42" s="2"/>
      <c r="J42" s="19"/>
      <c r="K42" s="2"/>
      <c r="L42" s="2">
        <f t="shared" si="0"/>
        <v>775.28</v>
      </c>
      <c r="M42" s="2"/>
      <c r="N42" s="19">
        <f t="shared" si="1"/>
        <v>0</v>
      </c>
      <c r="O42" s="11"/>
      <c r="P42" s="2">
        <f>--915.13</f>
        <v>915.13</v>
      </c>
      <c r="Q42" s="2"/>
      <c r="R42" s="19"/>
      <c r="S42" s="2"/>
      <c r="T42" s="2"/>
      <c r="U42" s="2"/>
      <c r="V42" s="19"/>
      <c r="W42" s="2"/>
      <c r="X42" s="2">
        <f t="shared" si="2"/>
        <v>915.13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"4100", " - ", "NON-TAXABLE SALES")</f>
        <v xml:space="preserve">          4100 - NON-TAXABLE SALES</v>
      </c>
      <c r="C43" s="11"/>
      <c r="D43" s="2">
        <f>--53675.54</f>
        <v>53675.54</v>
      </c>
      <c r="E43" s="2"/>
      <c r="F43" s="19"/>
      <c r="G43" s="2"/>
      <c r="H43" s="2">
        <v>712227</v>
      </c>
      <c r="I43" s="2"/>
      <c r="J43" s="19"/>
      <c r="K43" s="2"/>
      <c r="L43" s="2">
        <f t="shared" si="0"/>
        <v>-658551.46</v>
      </c>
      <c r="M43" s="2"/>
      <c r="N43" s="19">
        <f t="shared" si="1"/>
        <v>-0.92463703285609777</v>
      </c>
      <c r="O43" s="11"/>
      <c r="P43" s="2">
        <f>--730103.1</f>
        <v>730103.1</v>
      </c>
      <c r="Q43" s="2"/>
      <c r="R43" s="19"/>
      <c r="S43" s="2"/>
      <c r="T43" s="2">
        <v>4522449</v>
      </c>
      <c r="U43" s="2"/>
      <c r="V43" s="19"/>
      <c r="W43" s="2"/>
      <c r="X43" s="2">
        <f t="shared" si="2"/>
        <v>-3792345.9</v>
      </c>
      <c r="Y43" s="2"/>
      <c r="Z43" s="19">
        <f t="shared" si="3"/>
        <v>-0.83856023583682204</v>
      </c>
    </row>
    <row r="44" spans="1:26" s="24" customFormat="1" hidden="1" outlineLevel="1" x14ac:dyDescent="0.25">
      <c r="A44" s="44"/>
      <c r="B44" s="11" t="str">
        <f>CONCATENATE("          ", "4101", " - ", "NON-TAXABLE SALES-NEW TEXT")</f>
        <v xml:space="preserve">          4101 - NON-TAXABLE SALES-NEW TEXT</v>
      </c>
      <c r="C44" s="11"/>
      <c r="D44" s="2">
        <f>--1044.17</f>
        <v>1044.17</v>
      </c>
      <c r="E44" s="2"/>
      <c r="F44" s="19"/>
      <c r="G44" s="2"/>
      <c r="H44" s="2"/>
      <c r="I44" s="2"/>
      <c r="J44" s="19"/>
      <c r="K44" s="2"/>
      <c r="L44" s="2">
        <f t="shared" si="0"/>
        <v>1044.17</v>
      </c>
      <c r="M44" s="2"/>
      <c r="N44" s="19">
        <f t="shared" si="1"/>
        <v>0</v>
      </c>
      <c r="O44" s="11"/>
      <c r="P44" s="2">
        <f>--112055.71</f>
        <v>112055.71</v>
      </c>
      <c r="Q44" s="2"/>
      <c r="R44" s="19"/>
      <c r="S44" s="2"/>
      <c r="T44" s="2"/>
      <c r="U44" s="2"/>
      <c r="V44" s="19"/>
      <c r="W44" s="2"/>
      <c r="X44" s="2">
        <f t="shared" si="2"/>
        <v>112055.71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"4102", " - ", "NON-TAXABLE SALES-USED TEXT")</f>
        <v xml:space="preserve">          4102 - NON-TAXABLE SALES-USED TEXT</v>
      </c>
      <c r="C45" s="11"/>
      <c r="D45" s="2">
        <f>--1572.06</f>
        <v>1572.06</v>
      </c>
      <c r="E45" s="2"/>
      <c r="F45" s="19"/>
      <c r="G45" s="2"/>
      <c r="H45" s="2"/>
      <c r="I45" s="2"/>
      <c r="J45" s="19"/>
      <c r="K45" s="2"/>
      <c r="L45" s="2">
        <f t="shared" si="0"/>
        <v>1572.06</v>
      </c>
      <c r="M45" s="2"/>
      <c r="N45" s="19">
        <f t="shared" si="1"/>
        <v>0</v>
      </c>
      <c r="O45" s="11"/>
      <c r="P45" s="2">
        <f>--47959.43</f>
        <v>47959.43</v>
      </c>
      <c r="Q45" s="2"/>
      <c r="R45" s="19"/>
      <c r="S45" s="2"/>
      <c r="T45" s="2"/>
      <c r="U45" s="2"/>
      <c r="V45" s="19"/>
      <c r="W45" s="2"/>
      <c r="X45" s="2">
        <f t="shared" si="2"/>
        <v>47959.43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"4103", " - ", "NON-TAXABLE SALES-RENTAL TEXT")</f>
        <v xml:space="preserve">          4103 - NON-TAXABLE SALES-RENTAL TEXT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--1138.95</f>
        <v>1138.95</v>
      </c>
      <c r="Q46" s="2"/>
      <c r="R46" s="19"/>
      <c r="S46" s="2"/>
      <c r="T46" s="2"/>
      <c r="U46" s="2"/>
      <c r="V46" s="19"/>
      <c r="W46" s="2"/>
      <c r="X46" s="2">
        <f t="shared" si="2"/>
        <v>1138.95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--1097.13</f>
        <v>1097.1300000000001</v>
      </c>
      <c r="E47" s="2"/>
      <c r="F47" s="19"/>
      <c r="G47" s="2"/>
      <c r="H47" s="2"/>
      <c r="I47" s="2"/>
      <c r="J47" s="19"/>
      <c r="K47" s="2"/>
      <c r="L47" s="2">
        <f t="shared" si="0"/>
        <v>1097.1300000000001</v>
      </c>
      <c r="M47" s="2"/>
      <c r="N47" s="19">
        <f t="shared" si="1"/>
        <v>0</v>
      </c>
      <c r="O47" s="11"/>
      <c r="P47" s="2">
        <f>--476971.18</f>
        <v>476971.18</v>
      </c>
      <c r="Q47" s="2"/>
      <c r="R47" s="19"/>
      <c r="S47" s="2"/>
      <c r="T47" s="2"/>
      <c r="U47" s="2"/>
      <c r="V47" s="19"/>
      <c r="W47" s="2"/>
      <c r="X47" s="2">
        <f t="shared" si="2"/>
        <v>476971.18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"4113", " - ", "NON-TAXABLE SALES-TRADE BOOKS")</f>
        <v xml:space="preserve">          4113 - NON-TAXABLE SALES-TRADE BOOKS</v>
      </c>
      <c r="C48" s="11"/>
      <c r="D48" s="2">
        <f>--1250</f>
        <v>1250</v>
      </c>
      <c r="E48" s="2"/>
      <c r="F48" s="19"/>
      <c r="G48" s="2"/>
      <c r="H48" s="2"/>
      <c r="I48" s="2"/>
      <c r="J48" s="19"/>
      <c r="K48" s="2"/>
      <c r="L48" s="2">
        <f t="shared" si="0"/>
        <v>1250</v>
      </c>
      <c r="M48" s="2"/>
      <c r="N48" s="19">
        <f t="shared" si="1"/>
        <v>0</v>
      </c>
      <c r="O48" s="11"/>
      <c r="P48" s="2">
        <f>--11389.25</f>
        <v>11389.25</v>
      </c>
      <c r="Q48" s="2"/>
      <c r="R48" s="19"/>
      <c r="S48" s="2"/>
      <c r="T48" s="2"/>
      <c r="U48" s="2"/>
      <c r="V48" s="19"/>
      <c r="W48" s="2"/>
      <c r="X48" s="2">
        <f t="shared" si="2"/>
        <v>11389.25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"4118", " - ", "NON-TAXABLE SALES-STUDY GUIDES")</f>
        <v xml:space="preserve">          4118 - NON-TAXABLE SALES-STUDY GUIDES</v>
      </c>
      <c r="C49" s="11"/>
      <c r="D49" s="2">
        <f t="shared" ref="D49:D50" si="5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--771.73</f>
        <v>771.73</v>
      </c>
      <c r="Q49" s="2"/>
      <c r="R49" s="19"/>
      <c r="S49" s="2"/>
      <c r="T49" s="2"/>
      <c r="U49" s="2"/>
      <c r="V49" s="19"/>
      <c r="W49" s="2"/>
      <c r="X49" s="2">
        <f t="shared" si="2"/>
        <v>771.73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"4126", " - ", "NON-TAXABLE SALES-WRITING INST")</f>
        <v xml:space="preserve">          4126 - NON-TAXABLE SALES-WRITING INST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--52.68</f>
        <v>52.68</v>
      </c>
      <c r="Q50" s="2"/>
      <c r="R50" s="19"/>
      <c r="S50" s="2"/>
      <c r="T50" s="2"/>
      <c r="U50" s="2"/>
      <c r="V50" s="19"/>
      <c r="W50" s="2"/>
      <c r="X50" s="2">
        <f t="shared" si="2"/>
        <v>52.68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"4127", " - ", "NON-TAXABLE SALES-SCHOOL SUPPL")</f>
        <v xml:space="preserve">          4127 - NON-TAXABLE SALES-SCHOOL SUPPL</v>
      </c>
      <c r="C51" s="11"/>
      <c r="D51" s="2">
        <f>--389.95</f>
        <v>389.95</v>
      </c>
      <c r="E51" s="2"/>
      <c r="F51" s="19"/>
      <c r="G51" s="2"/>
      <c r="H51" s="2"/>
      <c r="I51" s="2"/>
      <c r="J51" s="19"/>
      <c r="K51" s="2"/>
      <c r="L51" s="2">
        <f t="shared" si="0"/>
        <v>389.95</v>
      </c>
      <c r="M51" s="2"/>
      <c r="N51" s="19">
        <f t="shared" si="1"/>
        <v>0</v>
      </c>
      <c r="O51" s="11"/>
      <c r="P51" s="2">
        <f>--6607.31</f>
        <v>6607.31</v>
      </c>
      <c r="Q51" s="2"/>
      <c r="R51" s="19"/>
      <c r="S51" s="2"/>
      <c r="T51" s="2"/>
      <c r="U51" s="2"/>
      <c r="V51" s="19"/>
      <c r="W51" s="2"/>
      <c r="X51" s="2">
        <f t="shared" si="2"/>
        <v>6607.31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"4128", " - ", "NON-TAXABLE SALES-ART/TECH")</f>
        <v xml:space="preserve">          4128 - NON-TAXABLE SALES-ART/TECH</v>
      </c>
      <c r="C52" s="11"/>
      <c r="D52" s="2">
        <f>0</f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--38.58</f>
        <v>38.58</v>
      </c>
      <c r="Q52" s="2"/>
      <c r="R52" s="19"/>
      <c r="S52" s="2"/>
      <c r="T52" s="2"/>
      <c r="U52" s="2"/>
      <c r="V52" s="19"/>
      <c r="W52" s="2"/>
      <c r="X52" s="2">
        <f t="shared" si="2"/>
        <v>38.58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"4131", " - ", "NON-TAXABLE SALES-FOOD")</f>
        <v xml:space="preserve">          4131 - NON-TAXABLE SALES-FOOD</v>
      </c>
      <c r="C53" s="11"/>
      <c r="D53" s="2">
        <f>--829.28</f>
        <v>829.28</v>
      </c>
      <c r="E53" s="2"/>
      <c r="F53" s="19"/>
      <c r="G53" s="2"/>
      <c r="H53" s="2"/>
      <c r="I53" s="2"/>
      <c r="J53" s="19"/>
      <c r="K53" s="2"/>
      <c r="L53" s="2">
        <f t="shared" si="0"/>
        <v>829.28</v>
      </c>
      <c r="M53" s="2"/>
      <c r="N53" s="19">
        <f t="shared" si="1"/>
        <v>0</v>
      </c>
      <c r="O53" s="11"/>
      <c r="P53" s="2">
        <f>--10404.43</f>
        <v>10404.43</v>
      </c>
      <c r="Q53" s="2"/>
      <c r="R53" s="19"/>
      <c r="S53" s="2"/>
      <c r="T53" s="2"/>
      <c r="U53" s="2"/>
      <c r="V53" s="19"/>
      <c r="W53" s="2"/>
      <c r="X53" s="2">
        <f t="shared" si="2"/>
        <v>10404.43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"4132", " - ", "NON-TAXABLE SALES-JUICE")</f>
        <v xml:space="preserve">          4132 - NON-TAXABLE SALES-JUICE</v>
      </c>
      <c r="C54" s="11"/>
      <c r="D54" s="2">
        <f t="shared" ref="D54:D57" si="6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--2054.37</f>
        <v>2054.37</v>
      </c>
      <c r="Q54" s="2"/>
      <c r="R54" s="19"/>
      <c r="S54" s="2"/>
      <c r="T54" s="2"/>
      <c r="U54" s="2"/>
      <c r="V54" s="19"/>
      <c r="W54" s="2"/>
      <c r="X54" s="2">
        <f t="shared" si="2"/>
        <v>2054.37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"4133", " - ", "NON-TAXABLE SALES-CANDY")</f>
        <v xml:space="preserve">          4133 - NON-TAXABLE SALES-CANDY</v>
      </c>
      <c r="C55" s="11"/>
      <c r="D55" s="2">
        <f t="shared" si="6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--80.71</f>
        <v>80.709999999999994</v>
      </c>
      <c r="Q55" s="2"/>
      <c r="R55" s="19"/>
      <c r="S55" s="2"/>
      <c r="T55" s="2"/>
      <c r="U55" s="2"/>
      <c r="V55" s="19"/>
      <c r="W55" s="2"/>
      <c r="X55" s="2">
        <f t="shared" si="2"/>
        <v>80.709999999999994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"4134", " - ", "NON-TAXABLE SALES-SODA")</f>
        <v xml:space="preserve">          4134 - NON-TAXABLE SALES-SODA</v>
      </c>
      <c r="C56" s="11"/>
      <c r="D56" s="2">
        <f t="shared" si="6"/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--45.53</f>
        <v>45.53</v>
      </c>
      <c r="Q56" s="2"/>
      <c r="R56" s="19"/>
      <c r="S56" s="2"/>
      <c r="T56" s="2"/>
      <c r="U56" s="2"/>
      <c r="V56" s="19"/>
      <c r="W56" s="2"/>
      <c r="X56" s="2">
        <f t="shared" si="2"/>
        <v>45.53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"4137", " - ", "NON-TAXABLE SALES-WATER")</f>
        <v xml:space="preserve">          4137 - NON-TAXABLE SALES-WATER</v>
      </c>
      <c r="C57" s="11"/>
      <c r="D57" s="2">
        <f t="shared" si="6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--68.25</f>
        <v>68.25</v>
      </c>
      <c r="Q57" s="2"/>
      <c r="R57" s="19"/>
      <c r="S57" s="2"/>
      <c r="T57" s="2"/>
      <c r="U57" s="2"/>
      <c r="V57" s="19"/>
      <c r="W57" s="2"/>
      <c r="X57" s="2">
        <f t="shared" si="2"/>
        <v>68.25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"4140", " - ", "NON-TAXABLE SALES-LOGO CLOTHIN")</f>
        <v xml:space="preserve">          4140 - NON-TAXABLE SALES-LOGO CLOTHIN</v>
      </c>
      <c r="C58" s="11"/>
      <c r="D58" s="2">
        <f>--16626.41</f>
        <v>16626.41</v>
      </c>
      <c r="E58" s="2"/>
      <c r="F58" s="19"/>
      <c r="G58" s="2"/>
      <c r="H58" s="2"/>
      <c r="I58" s="2"/>
      <c r="J58" s="19"/>
      <c r="K58" s="2"/>
      <c r="L58" s="2">
        <f t="shared" si="0"/>
        <v>16626.41</v>
      </c>
      <c r="M58" s="2"/>
      <c r="N58" s="19">
        <f t="shared" si="1"/>
        <v>0</v>
      </c>
      <c r="O58" s="11"/>
      <c r="P58" s="2">
        <f>--131751.69</f>
        <v>131751.69</v>
      </c>
      <c r="Q58" s="2"/>
      <c r="R58" s="19"/>
      <c r="S58" s="2"/>
      <c r="T58" s="2"/>
      <c r="U58" s="2"/>
      <c r="V58" s="19"/>
      <c r="W58" s="2"/>
      <c r="X58" s="2">
        <f t="shared" si="2"/>
        <v>131751.69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"4141", " - ", "NON-TAXABLE SALES-LOGO GIFTS")</f>
        <v xml:space="preserve">          4141 - NON-TAXABLE SALES-LOGO GIFTS</v>
      </c>
      <c r="C59" s="11"/>
      <c r="D59" s="2">
        <f>--1055.22</f>
        <v>1055.22</v>
      </c>
      <c r="E59" s="2"/>
      <c r="F59" s="19"/>
      <c r="G59" s="2"/>
      <c r="H59" s="2"/>
      <c r="I59" s="2"/>
      <c r="J59" s="19"/>
      <c r="K59" s="2"/>
      <c r="L59" s="2">
        <f t="shared" si="0"/>
        <v>1055.22</v>
      </c>
      <c r="M59" s="2"/>
      <c r="N59" s="19">
        <f t="shared" si="1"/>
        <v>0</v>
      </c>
      <c r="O59" s="11"/>
      <c r="P59" s="2">
        <f>--9568.24</f>
        <v>9568.24</v>
      </c>
      <c r="Q59" s="2"/>
      <c r="R59" s="19"/>
      <c r="S59" s="2"/>
      <c r="T59" s="2"/>
      <c r="U59" s="2"/>
      <c r="V59" s="19"/>
      <c r="W59" s="2"/>
      <c r="X59" s="2">
        <f t="shared" si="2"/>
        <v>9568.24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"4142", " - ", "NON-TAXABLE SALES-EVERYDAY GIF")</f>
        <v xml:space="preserve">          4142 - NON-TAXABLE SALES-EVERYDAY GIF</v>
      </c>
      <c r="C60" s="11"/>
      <c r="D60" s="2">
        <f>--16.9</f>
        <v>16.899999999999999</v>
      </c>
      <c r="E60" s="2"/>
      <c r="F60" s="19"/>
      <c r="G60" s="2"/>
      <c r="H60" s="2"/>
      <c r="I60" s="2"/>
      <c r="J60" s="19"/>
      <c r="K60" s="2"/>
      <c r="L60" s="2">
        <f t="shared" si="0"/>
        <v>16.899999999999999</v>
      </c>
      <c r="M60" s="2"/>
      <c r="N60" s="19">
        <f t="shared" si="1"/>
        <v>0</v>
      </c>
      <c r="O60" s="11"/>
      <c r="P60" s="2">
        <f>--2281.37</f>
        <v>2281.37</v>
      </c>
      <c r="Q60" s="2"/>
      <c r="R60" s="19"/>
      <c r="S60" s="2"/>
      <c r="T60" s="2"/>
      <c r="U60" s="2"/>
      <c r="V60" s="19"/>
      <c r="W60" s="2"/>
      <c r="X60" s="2">
        <f t="shared" si="2"/>
        <v>2281.37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"4143", " - ", "NON-TAXABLE SALES-CARDS")</f>
        <v xml:space="preserve">          4143 - NON-TAXABLE SALES-CARDS</v>
      </c>
      <c r="C61" s="11"/>
      <c r="D61" s="2">
        <f>--261.82</f>
        <v>261.82</v>
      </c>
      <c r="E61" s="2"/>
      <c r="F61" s="19"/>
      <c r="G61" s="2"/>
      <c r="H61" s="2"/>
      <c r="I61" s="2"/>
      <c r="J61" s="19"/>
      <c r="K61" s="2"/>
      <c r="L61" s="2">
        <f t="shared" si="0"/>
        <v>261.82</v>
      </c>
      <c r="M61" s="2"/>
      <c r="N61" s="19">
        <f t="shared" si="1"/>
        <v>0</v>
      </c>
      <c r="O61" s="11"/>
      <c r="P61" s="2">
        <f>--2381.48</f>
        <v>2381.48</v>
      </c>
      <c r="Q61" s="2"/>
      <c r="R61" s="19"/>
      <c r="S61" s="2"/>
      <c r="T61" s="2"/>
      <c r="U61" s="2"/>
      <c r="V61" s="19"/>
      <c r="W61" s="2"/>
      <c r="X61" s="2">
        <f t="shared" si="2"/>
        <v>2381.48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"4144", " - ", "NON-TAXABLE SALES-ACCESSORIES")</f>
        <v xml:space="preserve">          4144 - NON-TAXABLE SALES-ACCESSORIES</v>
      </c>
      <c r="C62" s="11"/>
      <c r="D62" s="2">
        <f>--29.9</f>
        <v>29.9</v>
      </c>
      <c r="E62" s="2"/>
      <c r="F62" s="19"/>
      <c r="G62" s="2"/>
      <c r="H62" s="2"/>
      <c r="I62" s="2"/>
      <c r="J62" s="19"/>
      <c r="K62" s="2"/>
      <c r="L62" s="2">
        <f t="shared" si="0"/>
        <v>29.9</v>
      </c>
      <c r="M62" s="2"/>
      <c r="N62" s="19">
        <f t="shared" si="1"/>
        <v>0</v>
      </c>
      <c r="O62" s="11"/>
      <c r="P62" s="2">
        <f>--679.25</f>
        <v>679.25</v>
      </c>
      <c r="Q62" s="2"/>
      <c r="R62" s="19"/>
      <c r="S62" s="2"/>
      <c r="T62" s="2"/>
      <c r="U62" s="2"/>
      <c r="V62" s="19"/>
      <c r="W62" s="2"/>
      <c r="X62" s="2">
        <f t="shared" si="2"/>
        <v>679.25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"4145", " - ", "NON-TAXABLE SALES-SPECIAL ORDE")</f>
        <v xml:space="preserve">          4145 - NON-TAXABLE SALES-SPECIAL ORDE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--53716.09</f>
        <v>53716.09</v>
      </c>
      <c r="Q63" s="2"/>
      <c r="R63" s="19"/>
      <c r="S63" s="2"/>
      <c r="T63" s="2"/>
      <c r="U63" s="2"/>
      <c r="V63" s="19"/>
      <c r="W63" s="2"/>
      <c r="X63" s="2">
        <f t="shared" si="2"/>
        <v>53716.09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--90.7</f>
        <v>90.7</v>
      </c>
      <c r="E64" s="2"/>
      <c r="F64" s="19"/>
      <c r="G64" s="2"/>
      <c r="H64" s="2"/>
      <c r="I64" s="2"/>
      <c r="J64" s="19"/>
      <c r="K64" s="2"/>
      <c r="L64" s="2">
        <f t="shared" si="0"/>
        <v>90.7</v>
      </c>
      <c r="M64" s="2"/>
      <c r="N64" s="19">
        <f t="shared" si="1"/>
        <v>0</v>
      </c>
      <c r="O64" s="11"/>
      <c r="P64" s="2">
        <f>--299.1</f>
        <v>299.10000000000002</v>
      </c>
      <c r="Q64" s="2"/>
      <c r="R64" s="19"/>
      <c r="S64" s="2"/>
      <c r="T64" s="2"/>
      <c r="U64" s="2"/>
      <c r="V64" s="19"/>
      <c r="W64" s="2"/>
      <c r="X64" s="2">
        <f t="shared" si="2"/>
        <v>299.10000000000002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"4147", " - ", "NON-TAXABLE SALES-MISC")</f>
        <v xml:space="preserve">          4147 - NON-TAXABLE SALES-MISC</v>
      </c>
      <c r="C65" s="11"/>
      <c r="D65" s="2">
        <f>--11</f>
        <v>11</v>
      </c>
      <c r="E65" s="2"/>
      <c r="F65" s="19"/>
      <c r="G65" s="2"/>
      <c r="H65" s="2"/>
      <c r="I65" s="2"/>
      <c r="J65" s="19"/>
      <c r="K65" s="2"/>
      <c r="L65" s="2">
        <f t="shared" si="0"/>
        <v>11</v>
      </c>
      <c r="M65" s="2"/>
      <c r="N65" s="19">
        <f t="shared" si="1"/>
        <v>0</v>
      </c>
      <c r="O65" s="11"/>
      <c r="P65" s="2">
        <f>--143.5</f>
        <v>143.5</v>
      </c>
      <c r="Q65" s="2"/>
      <c r="R65" s="19"/>
      <c r="S65" s="2"/>
      <c r="T65" s="2"/>
      <c r="U65" s="2"/>
      <c r="V65" s="19"/>
      <c r="W65" s="2"/>
      <c r="X65" s="2">
        <f t="shared" si="2"/>
        <v>143.5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"4151", " - ", "NON-TAXABLE SALES-FOOD")</f>
        <v xml:space="preserve">          4151 - NON-TAXABLE SALES-FOOD</v>
      </c>
      <c r="C66" s="11"/>
      <c r="D66" s="2">
        <f>--89340.04</f>
        <v>89340.04</v>
      </c>
      <c r="E66" s="2"/>
      <c r="F66" s="19"/>
      <c r="G66" s="2"/>
      <c r="H66" s="2"/>
      <c r="I66" s="2"/>
      <c r="J66" s="19"/>
      <c r="K66" s="2"/>
      <c r="L66" s="2">
        <f t="shared" si="0"/>
        <v>89340.04</v>
      </c>
      <c r="M66" s="2"/>
      <c r="N66" s="19">
        <f t="shared" si="1"/>
        <v>0</v>
      </c>
      <c r="O66" s="11"/>
      <c r="P66" s="2">
        <f>--832309.85</f>
        <v>832309.85</v>
      </c>
      <c r="Q66" s="2"/>
      <c r="R66" s="19"/>
      <c r="S66" s="2"/>
      <c r="T66" s="2"/>
      <c r="U66" s="2"/>
      <c r="V66" s="19"/>
      <c r="W66" s="2"/>
      <c r="X66" s="2">
        <f t="shared" si="2"/>
        <v>832309.85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"4153", " - ", "NON-TAXABLE SALES-FOOD")</f>
        <v xml:space="preserve">          4153 - NON-TAXABLE SALES-FOOD</v>
      </c>
      <c r="C67" s="11"/>
      <c r="D67" s="2">
        <f>--5271.34</f>
        <v>5271.34</v>
      </c>
      <c r="E67" s="2"/>
      <c r="F67" s="19"/>
      <c r="G67" s="2"/>
      <c r="H67" s="2"/>
      <c r="I67" s="2"/>
      <c r="J67" s="19"/>
      <c r="K67" s="2"/>
      <c r="L67" s="2">
        <f t="shared" si="0"/>
        <v>5271.34</v>
      </c>
      <c r="M67" s="2"/>
      <c r="N67" s="19">
        <f t="shared" si="1"/>
        <v>0</v>
      </c>
      <c r="O67" s="11"/>
      <c r="P67" s="2">
        <f>--43349.91</f>
        <v>43349.91</v>
      </c>
      <c r="Q67" s="2"/>
      <c r="R67" s="19"/>
      <c r="S67" s="2"/>
      <c r="T67" s="2"/>
      <c r="U67" s="2"/>
      <c r="V67" s="19"/>
      <c r="W67" s="2"/>
      <c r="X67" s="2">
        <f t="shared" si="2"/>
        <v>43349.91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"4181", " - ", "NON-TAXABLE SALES-ELECTRONICS")</f>
        <v xml:space="preserve">          4181 - NON-TAXABLE SALES-ELECTRONICS</v>
      </c>
      <c r="C68" s="11"/>
      <c r="D68" s="2">
        <f>--285.97</f>
        <v>285.97000000000003</v>
      </c>
      <c r="E68" s="2"/>
      <c r="F68" s="19"/>
      <c r="G68" s="2"/>
      <c r="H68" s="2"/>
      <c r="I68" s="2"/>
      <c r="J68" s="19"/>
      <c r="K68" s="2"/>
      <c r="L68" s="2">
        <f t="shared" si="0"/>
        <v>285.97000000000003</v>
      </c>
      <c r="M68" s="2"/>
      <c r="N68" s="19">
        <f t="shared" si="1"/>
        <v>0</v>
      </c>
      <c r="O68" s="11"/>
      <c r="P68" s="2">
        <f>--12478.63</f>
        <v>12478.63</v>
      </c>
      <c r="Q68" s="2"/>
      <c r="R68" s="19"/>
      <c r="S68" s="2"/>
      <c r="T68" s="2"/>
      <c r="U68" s="2"/>
      <c r="V68" s="19"/>
      <c r="W68" s="2"/>
      <c r="X68" s="2">
        <f t="shared" si="2"/>
        <v>12478.63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"4182", " - ", "NON-TAXABLE SALES-COMPUTER HAR")</f>
        <v xml:space="preserve">          4182 - NON-TAXABLE SALES-COMPUTER HAR</v>
      </c>
      <c r="C69" s="11"/>
      <c r="D69" s="2">
        <f>--33767.84</f>
        <v>33767.839999999997</v>
      </c>
      <c r="E69" s="2"/>
      <c r="F69" s="19"/>
      <c r="G69" s="2"/>
      <c r="H69" s="2"/>
      <c r="I69" s="2"/>
      <c r="J69" s="19"/>
      <c r="K69" s="2"/>
      <c r="L69" s="2">
        <f t="shared" si="0"/>
        <v>33767.839999999997</v>
      </c>
      <c r="M69" s="2"/>
      <c r="N69" s="19">
        <f t="shared" si="1"/>
        <v>0</v>
      </c>
      <c r="O69" s="11"/>
      <c r="P69" s="2">
        <f>--253414.83</f>
        <v>253414.83</v>
      </c>
      <c r="Q69" s="2"/>
      <c r="R69" s="19"/>
      <c r="S69" s="2"/>
      <c r="T69" s="2"/>
      <c r="U69" s="2"/>
      <c r="V69" s="19"/>
      <c r="W69" s="2"/>
      <c r="X69" s="2">
        <f t="shared" si="2"/>
        <v>253414.83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"4183", " - ", "NON-TAXABLE SALES-COMPUTER EQU")</f>
        <v xml:space="preserve">          4183 - NON-TAXABLE SALES-COMPUTER EQU</v>
      </c>
      <c r="C70" s="11"/>
      <c r="D70" s="2">
        <f>--2983.61</f>
        <v>2983.61</v>
      </c>
      <c r="E70" s="2"/>
      <c r="F70" s="19"/>
      <c r="G70" s="2"/>
      <c r="H70" s="2"/>
      <c r="I70" s="2"/>
      <c r="J70" s="19"/>
      <c r="K70" s="2"/>
      <c r="L70" s="2">
        <f t="shared" si="0"/>
        <v>2983.61</v>
      </c>
      <c r="M70" s="2"/>
      <c r="N70" s="19">
        <f t="shared" si="1"/>
        <v>0</v>
      </c>
      <c r="O70" s="11"/>
      <c r="P70" s="2">
        <f>--16606.43</f>
        <v>16606.43</v>
      </c>
      <c r="Q70" s="2"/>
      <c r="R70" s="19"/>
      <c r="S70" s="2"/>
      <c r="T70" s="2"/>
      <c r="U70" s="2"/>
      <c r="V70" s="19"/>
      <c r="W70" s="2"/>
      <c r="X70" s="2">
        <f t="shared" si="2"/>
        <v>16606.43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"4185", " - ", "NON-TAXABLE SALES-SOFTWARE")</f>
        <v xml:space="preserve">          4185 - NON-TAXABLE SALES-SOFTWARE</v>
      </c>
      <c r="C71" s="11"/>
      <c r="D71" s="2">
        <f>--3559.59</f>
        <v>3559.59</v>
      </c>
      <c r="E71" s="2"/>
      <c r="F71" s="19"/>
      <c r="G71" s="2"/>
      <c r="H71" s="2"/>
      <c r="I71" s="2"/>
      <c r="J71" s="19"/>
      <c r="K71" s="2"/>
      <c r="L71" s="2">
        <f t="shared" si="0"/>
        <v>3559.59</v>
      </c>
      <c r="M71" s="2"/>
      <c r="N71" s="19">
        <f t="shared" si="1"/>
        <v>0</v>
      </c>
      <c r="O71" s="11"/>
      <c r="P71" s="2">
        <f>--38686.78</f>
        <v>38686.78</v>
      </c>
      <c r="Q71" s="2"/>
      <c r="R71" s="19"/>
      <c r="S71" s="2"/>
      <c r="T71" s="2"/>
      <c r="U71" s="2"/>
      <c r="V71" s="19"/>
      <c r="W71" s="2"/>
      <c r="X71" s="2">
        <f t="shared" si="2"/>
        <v>38686.78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"4186", " - ", "NON-TAXABLE SALES-COMPUTER SUP")</f>
        <v xml:space="preserve">          4186 - NON-TAXABLE SALES-COMPUTER SUP</v>
      </c>
      <c r="C72" s="11"/>
      <c r="D72" s="2">
        <f>--424.94</f>
        <v>424.94</v>
      </c>
      <c r="E72" s="2"/>
      <c r="F72" s="19"/>
      <c r="G72" s="2"/>
      <c r="H72" s="2"/>
      <c r="I72" s="2"/>
      <c r="J72" s="19"/>
      <c r="K72" s="2"/>
      <c r="L72" s="2">
        <f t="shared" si="0"/>
        <v>424.94</v>
      </c>
      <c r="M72" s="2"/>
      <c r="N72" s="19">
        <f t="shared" si="1"/>
        <v>0</v>
      </c>
      <c r="O72" s="11"/>
      <c r="P72" s="2">
        <f>--3255.2</f>
        <v>3255.2</v>
      </c>
      <c r="Q72" s="2"/>
      <c r="R72" s="19"/>
      <c r="S72" s="2"/>
      <c r="T72" s="2"/>
      <c r="U72" s="2"/>
      <c r="V72" s="19"/>
      <c r="W72" s="2"/>
      <c r="X72" s="2">
        <f t="shared" si="2"/>
        <v>3255.2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>-596.94</f>
        <v>-596.94000000000005</v>
      </c>
      <c r="E73" s="2"/>
      <c r="F73" s="19"/>
      <c r="G73" s="2"/>
      <c r="H73" s="2"/>
      <c r="I73" s="2"/>
      <c r="J73" s="19"/>
      <c r="K73" s="2"/>
      <c r="L73" s="2">
        <f t="shared" si="0"/>
        <v>-596.94000000000005</v>
      </c>
      <c r="M73" s="2"/>
      <c r="N73" s="19">
        <f t="shared" si="1"/>
        <v>0</v>
      </c>
      <c r="O73" s="11"/>
      <c r="P73" s="2">
        <f>-51261.17</f>
        <v>-51261.17</v>
      </c>
      <c r="Q73" s="2"/>
      <c r="R73" s="19"/>
      <c r="S73" s="2"/>
      <c r="T73" s="2"/>
      <c r="U73" s="2"/>
      <c r="V73" s="19"/>
      <c r="W73" s="2"/>
      <c r="X73" s="2">
        <f t="shared" si="2"/>
        <v>-51261.17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>-153.8</f>
        <v>-153.80000000000001</v>
      </c>
      <c r="E74" s="2"/>
      <c r="F74" s="19"/>
      <c r="G74" s="2"/>
      <c r="H74" s="2"/>
      <c r="I74" s="2"/>
      <c r="J74" s="19"/>
      <c r="K74" s="2"/>
      <c r="L74" s="2">
        <f t="shared" si="0"/>
        <v>-153.80000000000001</v>
      </c>
      <c r="M74" s="2"/>
      <c r="N74" s="19">
        <f t="shared" si="1"/>
        <v>0</v>
      </c>
      <c r="O74" s="11"/>
      <c r="P74" s="2">
        <f>-19889.31</f>
        <v>-19889.310000000001</v>
      </c>
      <c r="Q74" s="2"/>
      <c r="R74" s="19"/>
      <c r="S74" s="2"/>
      <c r="T74" s="2"/>
      <c r="U74" s="2"/>
      <c r="V74" s="19"/>
      <c r="W74" s="2"/>
      <c r="X74" s="2">
        <f t="shared" si="2"/>
        <v>-19889.310000000001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ref="D75:D76" si="7"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-1763.1</f>
        <v>-1763.1</v>
      </c>
      <c r="Q75" s="2"/>
      <c r="R75" s="19"/>
      <c r="S75" s="2"/>
      <c r="T75" s="2"/>
      <c r="U75" s="2"/>
      <c r="V75" s="19"/>
      <c r="W75" s="2"/>
      <c r="X75" s="2">
        <f t="shared" si="2"/>
        <v>-1763.1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 t="shared" si="7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-69.93</f>
        <v>-69.930000000000007</v>
      </c>
      <c r="Q76" s="2"/>
      <c r="R76" s="19"/>
      <c r="S76" s="2"/>
      <c r="T76" s="2"/>
      <c r="U76" s="2"/>
      <c r="V76" s="19"/>
      <c r="W76" s="2"/>
      <c r="X76" s="2">
        <f t="shared" si="2"/>
        <v>-69.930000000000007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"4218", " - ", "SALES RETURN TAXABLE-STUDY GUI")</f>
        <v xml:space="preserve">          4218 - SALES RETURN TAXABLE-STUDY GUI</v>
      </c>
      <c r="C77" s="11"/>
      <c r="D77" s="2">
        <f>-5.21</f>
        <v>-5.21</v>
      </c>
      <c r="E77" s="2"/>
      <c r="F77" s="19"/>
      <c r="G77" s="2"/>
      <c r="H77" s="2"/>
      <c r="I77" s="2"/>
      <c r="J77" s="19"/>
      <c r="K77" s="2"/>
      <c r="L77" s="2">
        <f t="shared" si="0"/>
        <v>-5.21</v>
      </c>
      <c r="M77" s="2"/>
      <c r="N77" s="19">
        <f t="shared" si="1"/>
        <v>0</v>
      </c>
      <c r="O77" s="11"/>
      <c r="P77" s="2">
        <f>-5.21</f>
        <v>-5.21</v>
      </c>
      <c r="Q77" s="2"/>
      <c r="R77" s="19"/>
      <c r="S77" s="2"/>
      <c r="T77" s="2"/>
      <c r="U77" s="2"/>
      <c r="V77" s="19"/>
      <c r="W77" s="2"/>
      <c r="X77" s="2">
        <f t="shared" si="2"/>
        <v>-5.21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"4226", " - ", "SALES RETURN TAXABLE-WRITING I")</f>
        <v xml:space="preserve">          4226 - SALES RETURN TAXABLE-WRITING I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-34.23</f>
        <v>-34.229999999999997</v>
      </c>
      <c r="Q78" s="2"/>
      <c r="R78" s="19"/>
      <c r="S78" s="2"/>
      <c r="T78" s="2"/>
      <c r="U78" s="2"/>
      <c r="V78" s="19"/>
      <c r="W78" s="2"/>
      <c r="X78" s="2">
        <f t="shared" si="2"/>
        <v>-34.229999999999997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"4227", " - ", "SALES RETURN TAXABLE-SCHOOL SU")</f>
        <v xml:space="preserve">          4227 - SALES RETURN TAXABLE-SCHOOL SU</v>
      </c>
      <c r="C79" s="11"/>
      <c r="D79" s="2">
        <f>-64.39</f>
        <v>-64.39</v>
      </c>
      <c r="E79" s="2"/>
      <c r="F79" s="19"/>
      <c r="G79" s="2"/>
      <c r="H79" s="2"/>
      <c r="I79" s="2"/>
      <c r="J79" s="19"/>
      <c r="K79" s="2"/>
      <c r="L79" s="2">
        <f t="shared" si="0"/>
        <v>-64.39</v>
      </c>
      <c r="M79" s="2"/>
      <c r="N79" s="19">
        <f t="shared" si="1"/>
        <v>0</v>
      </c>
      <c r="O79" s="11"/>
      <c r="P79" s="2">
        <f>-846.12</f>
        <v>-846.12</v>
      </c>
      <c r="Q79" s="2"/>
      <c r="R79" s="19"/>
      <c r="S79" s="2"/>
      <c r="T79" s="2"/>
      <c r="U79" s="2"/>
      <c r="V79" s="19"/>
      <c r="W79" s="2"/>
      <c r="X79" s="2">
        <f t="shared" si="2"/>
        <v>-846.12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"4228", " - ", "SALES RETURN TAXABLE-ART/TECH")</f>
        <v xml:space="preserve">          4228 - SALES RETURN TAXABLE-ART/TECH</v>
      </c>
      <c r="C80" s="11"/>
      <c r="D80" s="2">
        <f>-98.38</f>
        <v>-98.38</v>
      </c>
      <c r="E80" s="2"/>
      <c r="F80" s="19"/>
      <c r="G80" s="2"/>
      <c r="H80" s="2"/>
      <c r="I80" s="2"/>
      <c r="J80" s="19"/>
      <c r="K80" s="2"/>
      <c r="L80" s="2">
        <f t="shared" si="0"/>
        <v>-98.38</v>
      </c>
      <c r="M80" s="2"/>
      <c r="N80" s="19">
        <f t="shared" si="1"/>
        <v>0</v>
      </c>
      <c r="O80" s="11"/>
      <c r="P80" s="2">
        <f>-12837.62</f>
        <v>-12837.62</v>
      </c>
      <c r="Q80" s="2"/>
      <c r="R80" s="19"/>
      <c r="S80" s="2"/>
      <c r="T80" s="2"/>
      <c r="U80" s="2"/>
      <c r="V80" s="19"/>
      <c r="W80" s="2"/>
      <c r="X80" s="2">
        <f t="shared" si="2"/>
        <v>-12837.62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"4240", " - ", "SALES RETURN TAXABLE-LOGO CLOT")</f>
        <v xml:space="preserve">          4240 - SALES RETURN TAXABLE-LOGO CLOT</v>
      </c>
      <c r="C81" s="11"/>
      <c r="D81" s="2">
        <f>-3924.84</f>
        <v>-3924.84</v>
      </c>
      <c r="E81" s="2"/>
      <c r="F81" s="19"/>
      <c r="G81" s="2"/>
      <c r="H81" s="2"/>
      <c r="I81" s="2"/>
      <c r="J81" s="19"/>
      <c r="K81" s="2"/>
      <c r="L81" s="2">
        <f t="shared" si="0"/>
        <v>-3924.84</v>
      </c>
      <c r="M81" s="2"/>
      <c r="N81" s="19">
        <f t="shared" si="1"/>
        <v>0</v>
      </c>
      <c r="O81" s="11"/>
      <c r="P81" s="2">
        <f>-35054.35</f>
        <v>-35054.35</v>
      </c>
      <c r="Q81" s="2"/>
      <c r="R81" s="19"/>
      <c r="S81" s="2"/>
      <c r="T81" s="2"/>
      <c r="U81" s="2"/>
      <c r="V81" s="19"/>
      <c r="W81" s="2"/>
      <c r="X81" s="2">
        <f t="shared" si="2"/>
        <v>-35054.35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"4241", " - ", "SALES RETURN TAXABLE-LOGO GIFT")</f>
        <v xml:space="preserve">          4241 - SALES RETURN TAXABLE-LOGO GIFT</v>
      </c>
      <c r="C82" s="11"/>
      <c r="D82" s="2">
        <f>-1222.82</f>
        <v>-1222.82</v>
      </c>
      <c r="E82" s="2"/>
      <c r="F82" s="19"/>
      <c r="G82" s="2"/>
      <c r="H82" s="2"/>
      <c r="I82" s="2"/>
      <c r="J82" s="19"/>
      <c r="K82" s="2"/>
      <c r="L82" s="2">
        <f t="shared" si="0"/>
        <v>-1222.82</v>
      </c>
      <c r="M82" s="2"/>
      <c r="N82" s="19">
        <f t="shared" si="1"/>
        <v>0</v>
      </c>
      <c r="O82" s="11"/>
      <c r="P82" s="2">
        <f>-6518.34</f>
        <v>-6518.34</v>
      </c>
      <c r="Q82" s="2"/>
      <c r="R82" s="19"/>
      <c r="S82" s="2"/>
      <c r="T82" s="2"/>
      <c r="U82" s="2"/>
      <c r="V82" s="19"/>
      <c r="W82" s="2"/>
      <c r="X82" s="2">
        <f t="shared" si="2"/>
        <v>-6518.34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"4242", " - ", "SALES RETURN TAXABLE-EVERYDAY")</f>
        <v xml:space="preserve">          4242 - SALES RETURN TAXABLE-EVERYDAY</v>
      </c>
      <c r="C83" s="11"/>
      <c r="D83" s="2">
        <f>-565.08</f>
        <v>-565.08000000000004</v>
      </c>
      <c r="E83" s="2"/>
      <c r="F83" s="19"/>
      <c r="G83" s="2"/>
      <c r="H83" s="2"/>
      <c r="I83" s="2"/>
      <c r="J83" s="19"/>
      <c r="K83" s="2"/>
      <c r="L83" s="2">
        <f t="shared" si="0"/>
        <v>-565.08000000000004</v>
      </c>
      <c r="M83" s="2"/>
      <c r="N83" s="19">
        <f t="shared" si="1"/>
        <v>0</v>
      </c>
      <c r="O83" s="11"/>
      <c r="P83" s="2">
        <f>-2303.82</f>
        <v>-2303.8200000000002</v>
      </c>
      <c r="Q83" s="2"/>
      <c r="R83" s="19"/>
      <c r="S83" s="2"/>
      <c r="T83" s="2"/>
      <c r="U83" s="2"/>
      <c r="V83" s="19"/>
      <c r="W83" s="2"/>
      <c r="X83" s="2">
        <f t="shared" si="2"/>
        <v>-2303.8200000000002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"4243", " - ", "SALES RETURN TAXABLE-CARDS")</f>
        <v xml:space="preserve">          4243 - SALES RETURN TAXABLE-CARDS</v>
      </c>
      <c r="C84" s="11"/>
      <c r="D84" s="2">
        <f>-572.63</f>
        <v>-572.63</v>
      </c>
      <c r="E84" s="2"/>
      <c r="F84" s="19"/>
      <c r="G84" s="2"/>
      <c r="H84" s="2"/>
      <c r="I84" s="2"/>
      <c r="J84" s="19"/>
      <c r="K84" s="2"/>
      <c r="L84" s="2">
        <f t="shared" si="0"/>
        <v>-572.63</v>
      </c>
      <c r="M84" s="2"/>
      <c r="N84" s="19">
        <f t="shared" si="1"/>
        <v>0</v>
      </c>
      <c r="O84" s="11"/>
      <c r="P84" s="2">
        <f>-5942.23</f>
        <v>-5942.23</v>
      </c>
      <c r="Q84" s="2"/>
      <c r="R84" s="19"/>
      <c r="S84" s="2"/>
      <c r="T84" s="2"/>
      <c r="U84" s="2"/>
      <c r="V84" s="19"/>
      <c r="W84" s="2"/>
      <c r="X84" s="2">
        <f t="shared" si="2"/>
        <v>-5942.23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"4244", " - ", "SALES RETURN TAXABLE-ACCESSORI")</f>
        <v xml:space="preserve">          4244 - SALES RETURN TAXABLE-ACCESSORI</v>
      </c>
      <c r="C85" s="11"/>
      <c r="D85" s="2">
        <f>-240.42</f>
        <v>-240.42</v>
      </c>
      <c r="E85" s="2"/>
      <c r="F85" s="19"/>
      <c r="G85" s="2"/>
      <c r="H85" s="2"/>
      <c r="I85" s="2"/>
      <c r="J85" s="19"/>
      <c r="K85" s="2"/>
      <c r="L85" s="2">
        <f t="shared" si="0"/>
        <v>-240.42</v>
      </c>
      <c r="M85" s="2"/>
      <c r="N85" s="19">
        <f t="shared" si="1"/>
        <v>0</v>
      </c>
      <c r="O85" s="11"/>
      <c r="P85" s="2">
        <f>-1235.26</f>
        <v>-1235.26</v>
      </c>
      <c r="Q85" s="2"/>
      <c r="R85" s="19"/>
      <c r="S85" s="2"/>
      <c r="T85" s="2"/>
      <c r="U85" s="2"/>
      <c r="V85" s="19"/>
      <c r="W85" s="2"/>
      <c r="X85" s="2">
        <f t="shared" si="2"/>
        <v>-1235.26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"4245", " - ", "SALES RETURN TAXABLE-SPECIAL O")</f>
        <v xml:space="preserve">          4245 - SALES RETURN TAXABLE-SPECIAL O</v>
      </c>
      <c r="C86" s="11"/>
      <c r="D86" s="2">
        <f t="shared" ref="D86:D87" si="8">0</f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-11353.59</f>
        <v>-11353.59</v>
      </c>
      <c r="Q86" s="2"/>
      <c r="R86" s="19"/>
      <c r="S86" s="2"/>
      <c r="T86" s="2"/>
      <c r="U86" s="2"/>
      <c r="V86" s="19"/>
      <c r="W86" s="2"/>
      <c r="X86" s="2">
        <f t="shared" si="2"/>
        <v>-11353.59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"4281", " - ", "SALES RETURN TAXABLE-ELECTRONI")</f>
        <v xml:space="preserve">          4281 - SALES RETURN TAXABLE-ELECTRONI</v>
      </c>
      <c r="C87" s="11"/>
      <c r="D87" s="2">
        <f t="shared" si="8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-14762.14</f>
        <v>-14762.14</v>
      </c>
      <c r="Q87" s="2"/>
      <c r="R87" s="19"/>
      <c r="S87" s="2"/>
      <c r="T87" s="2"/>
      <c r="U87" s="2"/>
      <c r="V87" s="19"/>
      <c r="W87" s="2"/>
      <c r="X87" s="2">
        <f t="shared" si="2"/>
        <v>-14762.14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"4282", " - ", "SALES RETURN TAXABLE-COMPUTER")</f>
        <v xml:space="preserve">          4282 - SALES RETURN TAXABLE-COMPUTER</v>
      </c>
      <c r="C88" s="11"/>
      <c r="D88" s="2">
        <f>-43137</f>
        <v>-43137</v>
      </c>
      <c r="E88" s="2"/>
      <c r="F88" s="19"/>
      <c r="G88" s="2"/>
      <c r="H88" s="2"/>
      <c r="I88" s="2"/>
      <c r="J88" s="19"/>
      <c r="K88" s="2"/>
      <c r="L88" s="2">
        <f t="shared" si="0"/>
        <v>-43137</v>
      </c>
      <c r="M88" s="2"/>
      <c r="N88" s="19">
        <f t="shared" si="1"/>
        <v>0</v>
      </c>
      <c r="O88" s="11"/>
      <c r="P88" s="2">
        <f>-172765.16</f>
        <v>-172765.16</v>
      </c>
      <c r="Q88" s="2"/>
      <c r="R88" s="19"/>
      <c r="S88" s="2"/>
      <c r="T88" s="2"/>
      <c r="U88" s="2"/>
      <c r="V88" s="19"/>
      <c r="W88" s="2"/>
      <c r="X88" s="2">
        <f t="shared" si="2"/>
        <v>-172765.16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"4283", " - ", "SALES RETURN TAXABLE-COMPUTER")</f>
        <v xml:space="preserve">          4283 - SALES RETURN TAXABLE-COMPUTER</v>
      </c>
      <c r="C89" s="11"/>
      <c r="D89" s="2">
        <f>-389.97</f>
        <v>-389.97</v>
      </c>
      <c r="E89" s="2"/>
      <c r="F89" s="19"/>
      <c r="G89" s="2"/>
      <c r="H89" s="2"/>
      <c r="I89" s="2"/>
      <c r="J89" s="19"/>
      <c r="K89" s="2"/>
      <c r="L89" s="2">
        <f t="shared" si="0"/>
        <v>-389.97</v>
      </c>
      <c r="M89" s="2"/>
      <c r="N89" s="19">
        <f t="shared" si="1"/>
        <v>0</v>
      </c>
      <c r="O89" s="11"/>
      <c r="P89" s="2">
        <f>-3749.25</f>
        <v>-3749.25</v>
      </c>
      <c r="Q89" s="2"/>
      <c r="R89" s="19"/>
      <c r="S89" s="2"/>
      <c r="T89" s="2"/>
      <c r="U89" s="2"/>
      <c r="V89" s="19"/>
      <c r="W89" s="2"/>
      <c r="X89" s="2">
        <f t="shared" si="2"/>
        <v>-3749.25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"4285", " - ", "SALES RETURN TAXABLE-SOFTWARE")</f>
        <v xml:space="preserve">          4285 - SALES RETURN TAXABLE-SOFTWARE</v>
      </c>
      <c r="C90" s="11"/>
      <c r="D90" s="2">
        <f>-149.99</f>
        <v>-149.99</v>
      </c>
      <c r="E90" s="2"/>
      <c r="F90" s="19"/>
      <c r="G90" s="2"/>
      <c r="H90" s="2"/>
      <c r="I90" s="2"/>
      <c r="J90" s="19"/>
      <c r="K90" s="2"/>
      <c r="L90" s="2">
        <f t="shared" si="0"/>
        <v>-149.99</v>
      </c>
      <c r="M90" s="2"/>
      <c r="N90" s="19">
        <f t="shared" si="1"/>
        <v>0</v>
      </c>
      <c r="O90" s="11"/>
      <c r="P90" s="2">
        <f>-991.96</f>
        <v>-991.96</v>
      </c>
      <c r="Q90" s="2"/>
      <c r="R90" s="19"/>
      <c r="S90" s="2"/>
      <c r="T90" s="2"/>
      <c r="U90" s="2"/>
      <c r="V90" s="19"/>
      <c r="W90" s="2"/>
      <c r="X90" s="2">
        <f t="shared" si="2"/>
        <v>-991.96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"4286", " - ", "SALES RETURN TAXABLE-COMPUTER")</f>
        <v xml:space="preserve">          4286 - SALES RETURN TAXABLE-COMPUTER</v>
      </c>
      <c r="C91" s="11"/>
      <c r="D91" s="2">
        <f>-39.98</f>
        <v>-39.979999999999997</v>
      </c>
      <c r="E91" s="2"/>
      <c r="F91" s="19"/>
      <c r="G91" s="2"/>
      <c r="H91" s="2"/>
      <c r="I91" s="2"/>
      <c r="J91" s="19"/>
      <c r="K91" s="2"/>
      <c r="L91" s="2">
        <f t="shared" si="0"/>
        <v>-39.979999999999997</v>
      </c>
      <c r="M91" s="2"/>
      <c r="N91" s="19">
        <f t="shared" si="1"/>
        <v>0</v>
      </c>
      <c r="O91" s="11"/>
      <c r="P91" s="2">
        <f>-4802.29</f>
        <v>-4802.29</v>
      </c>
      <c r="Q91" s="2"/>
      <c r="R91" s="19"/>
      <c r="S91" s="2"/>
      <c r="T91" s="2"/>
      <c r="U91" s="2"/>
      <c r="V91" s="19"/>
      <c r="W91" s="2"/>
      <c r="X91" s="2">
        <f t="shared" si="2"/>
        <v>-4802.29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-3237.29</f>
        <v>-3237.29</v>
      </c>
      <c r="Q92" s="2"/>
      <c r="R92" s="19"/>
      <c r="S92" s="2"/>
      <c r="T92" s="2"/>
      <c r="U92" s="2"/>
      <c r="V92" s="19"/>
      <c r="W92" s="2"/>
      <c r="X92" s="2">
        <f t="shared" si="2"/>
        <v>-3237.29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"4302", " - ", "SALES RETURN NON TAXABLE-TEXT")</f>
        <v xml:space="preserve">          4302 - SALES RETURN NON TAXABLE-TEXT</v>
      </c>
      <c r="C93" s="11"/>
      <c r="D93" s="2">
        <f>-270.87</f>
        <v>-270.87</v>
      </c>
      <c r="E93" s="2"/>
      <c r="F93" s="19"/>
      <c r="G93" s="2"/>
      <c r="H93" s="2"/>
      <c r="I93" s="2"/>
      <c r="J93" s="19"/>
      <c r="K93" s="2"/>
      <c r="L93" s="2">
        <f t="shared" si="0"/>
        <v>-270.87</v>
      </c>
      <c r="M93" s="2"/>
      <c r="N93" s="19">
        <f t="shared" si="1"/>
        <v>0</v>
      </c>
      <c r="O93" s="11"/>
      <c r="P93" s="2">
        <f>-2344.35</f>
        <v>-2344.35</v>
      </c>
      <c r="Q93" s="2"/>
      <c r="R93" s="19"/>
      <c r="S93" s="2"/>
      <c r="T93" s="2"/>
      <c r="U93" s="2"/>
      <c r="V93" s="19"/>
      <c r="W93" s="2"/>
      <c r="X93" s="2">
        <f t="shared" si="2"/>
        <v>-2344.35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"4304", " - ", "SALES RETURN NON TAXABLE-DIGIT")</f>
        <v xml:space="preserve">          4304 - SALES RETURN NON TAXABLE-DIGIT</v>
      </c>
      <c r="C94" s="11"/>
      <c r="D94" s="2">
        <f>-275.04</f>
        <v>-275.04000000000002</v>
      </c>
      <c r="E94" s="2"/>
      <c r="F94" s="19"/>
      <c r="G94" s="2"/>
      <c r="H94" s="2"/>
      <c r="I94" s="2"/>
      <c r="J94" s="19"/>
      <c r="K94" s="2"/>
      <c r="L94" s="2">
        <f t="shared" si="0"/>
        <v>-275.04000000000002</v>
      </c>
      <c r="M94" s="2"/>
      <c r="N94" s="19">
        <f t="shared" si="1"/>
        <v>0</v>
      </c>
      <c r="O94" s="11"/>
      <c r="P94" s="2">
        <f>-27543.76</f>
        <v>-27543.759999999998</v>
      </c>
      <c r="Q94" s="2"/>
      <c r="R94" s="19"/>
      <c r="S94" s="2"/>
      <c r="T94" s="2"/>
      <c r="U94" s="2"/>
      <c r="V94" s="19"/>
      <c r="W94" s="2"/>
      <c r="X94" s="2">
        <f t="shared" si="2"/>
        <v>-27543.759999999998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"4340", " - ", "SALES RETURN NON TAXABLE-LOGO")</f>
        <v xml:space="preserve">          4340 - SALES RETURN NON TAXABLE-LOGO</v>
      </c>
      <c r="C95" s="11"/>
      <c r="D95" s="2">
        <f>-350.55</f>
        <v>-350.55</v>
      </c>
      <c r="E95" s="2"/>
      <c r="F95" s="19"/>
      <c r="G95" s="2"/>
      <c r="H95" s="2"/>
      <c r="I95" s="2"/>
      <c r="J95" s="19"/>
      <c r="K95" s="2"/>
      <c r="L95" s="2">
        <f t="shared" si="0"/>
        <v>-350.55</v>
      </c>
      <c r="M95" s="2"/>
      <c r="N95" s="19">
        <f t="shared" si="1"/>
        <v>0</v>
      </c>
      <c r="O95" s="11"/>
      <c r="P95" s="2">
        <f>-2643.39</f>
        <v>-2643.39</v>
      </c>
      <c r="Q95" s="2"/>
      <c r="R95" s="19"/>
      <c r="S95" s="2"/>
      <c r="T95" s="2"/>
      <c r="U95" s="2"/>
      <c r="V95" s="19"/>
      <c r="W95" s="2"/>
      <c r="X95" s="2">
        <f t="shared" si="2"/>
        <v>-2643.39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"4341", " - ", "SALES RETURN NON TAXABLE-LOGO")</f>
        <v xml:space="preserve">          4341 - SALES RETURN NON TAXABLE-LOGO</v>
      </c>
      <c r="C96" s="11"/>
      <c r="D96" s="2">
        <f>-29.9</f>
        <v>-29.9</v>
      </c>
      <c r="E96" s="2"/>
      <c r="F96" s="19"/>
      <c r="G96" s="2"/>
      <c r="H96" s="2"/>
      <c r="I96" s="2"/>
      <c r="J96" s="19"/>
      <c r="K96" s="2"/>
      <c r="L96" s="2">
        <f t="shared" si="0"/>
        <v>-29.9</v>
      </c>
      <c r="M96" s="2"/>
      <c r="N96" s="19">
        <f t="shared" si="1"/>
        <v>0</v>
      </c>
      <c r="O96" s="11"/>
      <c r="P96" s="2">
        <f>-392.54</f>
        <v>-392.54</v>
      </c>
      <c r="Q96" s="2"/>
      <c r="R96" s="19"/>
      <c r="S96" s="2"/>
      <c r="T96" s="2"/>
      <c r="U96" s="2"/>
      <c r="V96" s="19"/>
      <c r="W96" s="2"/>
      <c r="X96" s="2">
        <f t="shared" si="2"/>
        <v>-392.54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"4342", " - ", "SALES RETURN NON TAXABLE-EVERY")</f>
        <v xml:space="preserve">          4342 - SALES RETURN NON TAXABLE-EVERY</v>
      </c>
      <c r="C97" s="11"/>
      <c r="D97" s="2">
        <f t="shared" ref="D97:D98" si="9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-118.7</f>
        <v>-118.7</v>
      </c>
      <c r="Q97" s="2"/>
      <c r="R97" s="19"/>
      <c r="S97" s="2"/>
      <c r="T97" s="2"/>
      <c r="U97" s="2"/>
      <c r="V97" s="19"/>
      <c r="W97" s="2"/>
      <c r="X97" s="2">
        <f t="shared" si="2"/>
        <v>-118.7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"4381", " - ", "SALES RETURN NON TAXABLE-ELECT")</f>
        <v xml:space="preserve">          4381 - SALES RETURN NON TAXABLE-ELECT</v>
      </c>
      <c r="C98" s="11"/>
      <c r="D98" s="2">
        <f t="shared" si="9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-5624.15</f>
        <v>-5624.15</v>
      </c>
      <c r="Q98" s="2"/>
      <c r="R98" s="19"/>
      <c r="S98" s="2"/>
      <c r="T98" s="2"/>
      <c r="U98" s="2"/>
      <c r="V98" s="19"/>
      <c r="W98" s="2"/>
      <c r="X98" s="2">
        <f t="shared" si="2"/>
        <v>-5624.15</v>
      </c>
      <c r="Y98" s="2"/>
      <c r="Z98" s="19">
        <f t="shared" si="3"/>
        <v>0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collapsed="1" x14ac:dyDescent="0.25">
      <c r="A100" s="10"/>
      <c r="B100" s="28" t="s">
        <v>257</v>
      </c>
      <c r="C100" s="10"/>
      <c r="D100" s="4">
        <f>SUM(OSRRefD16x_0)</f>
        <v>492354.00000000006</v>
      </c>
      <c r="E100" s="4"/>
      <c r="F100" s="12">
        <f t="shared" ref="F100:F150" si="10">IF(D$12=0,0,D100/D$12)</f>
        <v>0.60503089392781884</v>
      </c>
      <c r="G100" s="4"/>
      <c r="H100" s="4">
        <f>SUM(OSRRefH16x_0)</f>
        <v>456948</v>
      </c>
      <c r="I100" s="4"/>
      <c r="J100" s="12">
        <f t="shared" ref="J100:J150" si="11">IF(H$12=0,0,H100/H$12)</f>
        <v>0.38492278766354765</v>
      </c>
      <c r="K100" s="4"/>
      <c r="L100" s="4">
        <f t="shared" ref="L100:L150" si="12">+D100-H100</f>
        <v>35406.000000000058</v>
      </c>
      <c r="M100" s="4"/>
      <c r="N100" s="12">
        <f t="shared" ref="N100:N150" si="13">IF(H100=0,0,L100/H100)</f>
        <v>7.7483652406838549E-2</v>
      </c>
      <c r="O100" s="10"/>
      <c r="P100" s="4">
        <f>SUM(OSRRefP16x_0)</f>
        <v>4992344.28</v>
      </c>
      <c r="Q100" s="4"/>
      <c r="R100" s="12">
        <f t="shared" ref="R100:R150" si="14">IF(P$12=0,0,P100/P$12)</f>
        <v>0.62677320423499217</v>
      </c>
      <c r="S100" s="4"/>
      <c r="T100" s="4">
        <f>SUM(OSRRefT16x_0)</f>
        <v>7139347</v>
      </c>
      <c r="U100" s="4"/>
      <c r="V100" s="12">
        <f t="shared" ref="V100:V150" si="15">IF(T$12=0,0,T100/T$12)</f>
        <v>0.51599342879362131</v>
      </c>
      <c r="W100" s="4"/>
      <c r="X100" s="4">
        <f t="shared" ref="X100:X150" si="16">+P100-T100</f>
        <v>-2147002.7199999997</v>
      </c>
      <c r="Y100" s="4"/>
      <c r="Z100" s="12">
        <f t="shared" ref="Z100:Z150" si="17">IF(T100=0,0,X100/T100)</f>
        <v>-0.30072816463466473</v>
      </c>
    </row>
    <row r="101" spans="1:26" s="24" customFormat="1" hidden="1" outlineLevel="1" x14ac:dyDescent="0.25">
      <c r="A101" s="44"/>
      <c r="B101" s="11" t="str">
        <f>CONCATENATE("          ", "5000", " - ", "PURCHASES @ COST")</f>
        <v xml:space="preserve">          5000 - PURCHASES @ COST</v>
      </c>
      <c r="C101" s="11"/>
      <c r="D101" s="2">
        <v>0</v>
      </c>
      <c r="E101" s="2"/>
      <c r="F101" s="19">
        <f t="shared" si="10"/>
        <v>0</v>
      </c>
      <c r="G101" s="2"/>
      <c r="H101" s="2">
        <v>456948</v>
      </c>
      <c r="I101" s="2"/>
      <c r="J101" s="19">
        <f t="shared" si="11"/>
        <v>0.38492278766354765</v>
      </c>
      <c r="K101" s="2"/>
      <c r="L101" s="2">
        <f t="shared" si="12"/>
        <v>-456948</v>
      </c>
      <c r="M101" s="2"/>
      <c r="N101" s="19">
        <f t="shared" si="13"/>
        <v>-1</v>
      </c>
      <c r="O101" s="11"/>
      <c r="P101" s="2">
        <v>0</v>
      </c>
      <c r="Q101" s="2"/>
      <c r="R101" s="19">
        <f t="shared" si="14"/>
        <v>0</v>
      </c>
      <c r="S101" s="2"/>
      <c r="T101" s="2">
        <v>7139347</v>
      </c>
      <c r="U101" s="2"/>
      <c r="V101" s="19">
        <f t="shared" si="15"/>
        <v>0.51599342879362131</v>
      </c>
      <c r="W101" s="2"/>
      <c r="X101" s="2">
        <f t="shared" si="16"/>
        <v>-7139347</v>
      </c>
      <c r="Y101" s="2"/>
      <c r="Z101" s="19">
        <f t="shared" si="17"/>
        <v>-1</v>
      </c>
    </row>
    <row r="102" spans="1:26" s="24" customFormat="1" hidden="1" outlineLevel="1" x14ac:dyDescent="0.25">
      <c r="A102" s="44"/>
      <c r="B102" s="11" t="str">
        <f>CONCATENATE("          ", "5001", " - ", "PURCHASES @ COST-NEW TEXT")</f>
        <v xml:space="preserve">          5001 - PURCHASES @ COST-NEW TEXT</v>
      </c>
      <c r="C102" s="11"/>
      <c r="D102" s="2">
        <v>-290899.24</v>
      </c>
      <c r="E102" s="2"/>
      <c r="F102" s="19">
        <f t="shared" si="10"/>
        <v>-0.35747252428155979</v>
      </c>
      <c r="G102" s="2"/>
      <c r="H102" s="2"/>
      <c r="I102" s="2"/>
      <c r="J102" s="19">
        <f t="shared" si="11"/>
        <v>0</v>
      </c>
      <c r="K102" s="2"/>
      <c r="L102" s="2">
        <f t="shared" si="12"/>
        <v>-290899.24</v>
      </c>
      <c r="M102" s="2"/>
      <c r="N102" s="19">
        <f t="shared" si="13"/>
        <v>0</v>
      </c>
      <c r="O102" s="11"/>
      <c r="P102" s="2">
        <v>1035516.4</v>
      </c>
      <c r="Q102" s="2"/>
      <c r="R102" s="19">
        <f t="shared" si="14"/>
        <v>0.1300058440813068</v>
      </c>
      <c r="S102" s="2"/>
      <c r="T102" s="2"/>
      <c r="U102" s="2"/>
      <c r="V102" s="19">
        <f t="shared" si="15"/>
        <v>0</v>
      </c>
      <c r="W102" s="2"/>
      <c r="X102" s="2">
        <f t="shared" si="16"/>
        <v>1035516.4</v>
      </c>
      <c r="Y102" s="2"/>
      <c r="Z102" s="19">
        <f t="shared" si="17"/>
        <v>0</v>
      </c>
    </row>
    <row r="103" spans="1:26" s="24" customFormat="1" hidden="1" outlineLevel="1" x14ac:dyDescent="0.25">
      <c r="A103" s="44"/>
      <c r="B103" s="11" t="str">
        <f>CONCATENATE("          ", "5002", " - ", "PURCHASES @ COST-USED TEXT")</f>
        <v xml:space="preserve">          5002 - PURCHASES @ COST-USED TEXT</v>
      </c>
      <c r="C103" s="11"/>
      <c r="D103" s="2">
        <v>14728.45</v>
      </c>
      <c r="E103" s="2"/>
      <c r="F103" s="19">
        <f t="shared" si="10"/>
        <v>1.8099106069354939E-2</v>
      </c>
      <c r="G103" s="2"/>
      <c r="H103" s="2"/>
      <c r="I103" s="2"/>
      <c r="J103" s="19">
        <f t="shared" si="11"/>
        <v>0</v>
      </c>
      <c r="K103" s="2"/>
      <c r="L103" s="2">
        <f t="shared" si="12"/>
        <v>14728.45</v>
      </c>
      <c r="M103" s="2"/>
      <c r="N103" s="19">
        <f t="shared" si="13"/>
        <v>0</v>
      </c>
      <c r="O103" s="11"/>
      <c r="P103" s="2">
        <v>397052.67</v>
      </c>
      <c r="Q103" s="2"/>
      <c r="R103" s="19">
        <f t="shared" si="14"/>
        <v>4.9848720414361912E-2</v>
      </c>
      <c r="S103" s="2"/>
      <c r="T103" s="2"/>
      <c r="U103" s="2"/>
      <c r="V103" s="19">
        <f t="shared" si="15"/>
        <v>0</v>
      </c>
      <c r="W103" s="2"/>
      <c r="X103" s="2">
        <f t="shared" si="16"/>
        <v>397052.67</v>
      </c>
      <c r="Y103" s="2"/>
      <c r="Z103" s="19">
        <f t="shared" si="17"/>
        <v>0</v>
      </c>
    </row>
    <row r="104" spans="1:26" s="24" customFormat="1" hidden="1" outlineLevel="1" x14ac:dyDescent="0.25">
      <c r="A104" s="44"/>
      <c r="B104" s="11" t="str">
        <f>CONCATENATE("          ", "5003", " - ", "PURCHASES @ COST-RENTAL TEXT")</f>
        <v xml:space="preserve">          5003 - PURCHASES @ COST-RENTAL TEXT</v>
      </c>
      <c r="C104" s="11"/>
      <c r="D104" s="2"/>
      <c r="E104" s="2"/>
      <c r="F104" s="19">
        <f t="shared" si="10"/>
        <v>0</v>
      </c>
      <c r="G104" s="2"/>
      <c r="H104" s="2"/>
      <c r="I104" s="2"/>
      <c r="J104" s="19">
        <f t="shared" si="11"/>
        <v>0</v>
      </c>
      <c r="K104" s="2"/>
      <c r="L104" s="2">
        <f t="shared" si="12"/>
        <v>0</v>
      </c>
      <c r="M104" s="2"/>
      <c r="N104" s="19">
        <f t="shared" si="13"/>
        <v>0</v>
      </c>
      <c r="O104" s="11"/>
      <c r="P104" s="2">
        <v>32.520000000000003</v>
      </c>
      <c r="Q104" s="2"/>
      <c r="R104" s="19">
        <f t="shared" si="14"/>
        <v>4.0827842509535316E-6</v>
      </c>
      <c r="S104" s="2"/>
      <c r="T104" s="2"/>
      <c r="U104" s="2"/>
      <c r="V104" s="19">
        <f t="shared" si="15"/>
        <v>0</v>
      </c>
      <c r="W104" s="2"/>
      <c r="X104" s="2">
        <f t="shared" si="16"/>
        <v>32.520000000000003</v>
      </c>
      <c r="Y104" s="2"/>
      <c r="Z104" s="19">
        <f t="shared" si="17"/>
        <v>0</v>
      </c>
    </row>
    <row r="105" spans="1:26" s="24" customFormat="1" hidden="1" outlineLevel="1" x14ac:dyDescent="0.25">
      <c r="A105" s="44"/>
      <c r="B105" s="11" t="str">
        <f>CONCATENATE("          ", "5004", " - ", "PURCHASES @ COST-DIGITAL TEXT")</f>
        <v xml:space="preserve">          5004 - PURCHASES @ COST-DIGITAL TEXT</v>
      </c>
      <c r="C105" s="11"/>
      <c r="D105" s="2">
        <v>-13446.08</v>
      </c>
      <c r="E105" s="2"/>
      <c r="F105" s="19">
        <f t="shared" si="10"/>
        <v>-1.6523261316501878E-2</v>
      </c>
      <c r="G105" s="2"/>
      <c r="H105" s="2"/>
      <c r="I105" s="2"/>
      <c r="J105" s="19">
        <f t="shared" si="11"/>
        <v>0</v>
      </c>
      <c r="K105" s="2"/>
      <c r="L105" s="2">
        <f t="shared" si="12"/>
        <v>-13446.08</v>
      </c>
      <c r="M105" s="2"/>
      <c r="N105" s="19">
        <f t="shared" si="13"/>
        <v>0</v>
      </c>
      <c r="O105" s="11"/>
      <c r="P105" s="2">
        <v>206562.5</v>
      </c>
      <c r="Q105" s="2"/>
      <c r="R105" s="19">
        <f t="shared" si="14"/>
        <v>2.5933275579261648E-2</v>
      </c>
      <c r="S105" s="2"/>
      <c r="T105" s="2"/>
      <c r="U105" s="2"/>
      <c r="V105" s="19">
        <f t="shared" si="15"/>
        <v>0</v>
      </c>
      <c r="W105" s="2"/>
      <c r="X105" s="2">
        <f t="shared" si="16"/>
        <v>206562.5</v>
      </c>
      <c r="Y105" s="2"/>
      <c r="Z105" s="19">
        <f t="shared" si="17"/>
        <v>0</v>
      </c>
    </row>
    <row r="106" spans="1:26" s="24" customFormat="1" hidden="1" outlineLevel="1" x14ac:dyDescent="0.25">
      <c r="A106" s="44"/>
      <c r="B106" s="11" t="str">
        <f>CONCATENATE("          ", "5011", " - ", "PURCHASES @ COST-NO VALUE TEXT")</f>
        <v xml:space="preserve">          5011 - PURCHASES @ COST-NO VALUE TEXT</v>
      </c>
      <c r="C106" s="11"/>
      <c r="D106" s="2"/>
      <c r="E106" s="2"/>
      <c r="F106" s="19">
        <f t="shared" si="10"/>
        <v>0</v>
      </c>
      <c r="G106" s="2"/>
      <c r="H106" s="2"/>
      <c r="I106" s="2"/>
      <c r="J106" s="19">
        <f t="shared" si="11"/>
        <v>0</v>
      </c>
      <c r="K106" s="2"/>
      <c r="L106" s="2">
        <f t="shared" si="12"/>
        <v>0</v>
      </c>
      <c r="M106" s="2"/>
      <c r="N106" s="19">
        <f t="shared" si="13"/>
        <v>0</v>
      </c>
      <c r="O106" s="11"/>
      <c r="P106" s="2">
        <v>67.17</v>
      </c>
      <c r="Q106" s="2"/>
      <c r="R106" s="19">
        <f t="shared" si="14"/>
        <v>8.4329833375322471E-6</v>
      </c>
      <c r="S106" s="2"/>
      <c r="T106" s="2"/>
      <c r="U106" s="2"/>
      <c r="V106" s="19">
        <f t="shared" si="15"/>
        <v>0</v>
      </c>
      <c r="W106" s="2"/>
      <c r="X106" s="2">
        <f t="shared" si="16"/>
        <v>67.17</v>
      </c>
      <c r="Y106" s="2"/>
      <c r="Z106" s="19">
        <f t="shared" si="17"/>
        <v>0</v>
      </c>
    </row>
    <row r="107" spans="1:26" s="24" customFormat="1" hidden="1" outlineLevel="1" x14ac:dyDescent="0.25">
      <c r="A107" s="44"/>
      <c r="B107" s="11" t="str">
        <f>CONCATENATE("          ", "5013", " - ", "PURCHASES @ COST-TRADE BOOKS")</f>
        <v xml:space="preserve">          5013 - PURCHASES @ COST-TRADE BOOKS</v>
      </c>
      <c r="C107" s="11"/>
      <c r="D107" s="2">
        <v>2907.93</v>
      </c>
      <c r="E107" s="2"/>
      <c r="F107" s="19">
        <f t="shared" si="10"/>
        <v>3.5734197089482807E-3</v>
      </c>
      <c r="G107" s="2"/>
      <c r="H107" s="2"/>
      <c r="I107" s="2"/>
      <c r="J107" s="19">
        <f t="shared" si="11"/>
        <v>0</v>
      </c>
      <c r="K107" s="2"/>
      <c r="L107" s="2">
        <f t="shared" si="12"/>
        <v>2907.93</v>
      </c>
      <c r="M107" s="2"/>
      <c r="N107" s="19">
        <f t="shared" si="13"/>
        <v>0</v>
      </c>
      <c r="O107" s="11"/>
      <c r="P107" s="2">
        <v>8870.02</v>
      </c>
      <c r="Q107" s="2"/>
      <c r="R107" s="19">
        <f t="shared" si="14"/>
        <v>1.113603258353101E-3</v>
      </c>
      <c r="S107" s="2"/>
      <c r="T107" s="2"/>
      <c r="U107" s="2"/>
      <c r="V107" s="19">
        <f t="shared" si="15"/>
        <v>0</v>
      </c>
      <c r="W107" s="2"/>
      <c r="X107" s="2">
        <f t="shared" si="16"/>
        <v>8870.02</v>
      </c>
      <c r="Y107" s="2"/>
      <c r="Z107" s="19">
        <f t="shared" si="17"/>
        <v>0</v>
      </c>
    </row>
    <row r="108" spans="1:26" s="24" customFormat="1" hidden="1" outlineLevel="1" x14ac:dyDescent="0.25">
      <c r="A108" s="44"/>
      <c r="B108" s="11" t="str">
        <f>CONCATENATE("          ", "5014", " - ", "PURCHASES @ COST-REMAINDERS")</f>
        <v xml:space="preserve">          5014 - PURCHASES @ COST-REMAINDERS</v>
      </c>
      <c r="C108" s="11"/>
      <c r="D108" s="2"/>
      <c r="E108" s="2"/>
      <c r="F108" s="19">
        <f t="shared" si="10"/>
        <v>0</v>
      </c>
      <c r="G108" s="2"/>
      <c r="H108" s="2"/>
      <c r="I108" s="2"/>
      <c r="J108" s="19">
        <f t="shared" si="11"/>
        <v>0</v>
      </c>
      <c r="K108" s="2"/>
      <c r="L108" s="2">
        <f t="shared" si="12"/>
        <v>0</v>
      </c>
      <c r="M108" s="2"/>
      <c r="N108" s="19">
        <f t="shared" si="13"/>
        <v>0</v>
      </c>
      <c r="O108" s="11"/>
      <c r="P108" s="2">
        <v>111.57</v>
      </c>
      <c r="Q108" s="2"/>
      <c r="R108" s="19">
        <f t="shared" si="14"/>
        <v>1.4007264418169909E-5</v>
      </c>
      <c r="S108" s="2"/>
      <c r="T108" s="2"/>
      <c r="U108" s="2"/>
      <c r="V108" s="19">
        <f t="shared" si="15"/>
        <v>0</v>
      </c>
      <c r="W108" s="2"/>
      <c r="X108" s="2">
        <f t="shared" si="16"/>
        <v>111.57</v>
      </c>
      <c r="Y108" s="2"/>
      <c r="Z108" s="19">
        <f t="shared" si="17"/>
        <v>0</v>
      </c>
    </row>
    <row r="109" spans="1:26" s="24" customFormat="1" hidden="1" outlineLevel="1" x14ac:dyDescent="0.25">
      <c r="A109" s="44"/>
      <c r="B109" s="11" t="str">
        <f>CONCATENATE("          ", "5018", " - ", "PURCHASES @ COST-STUDY GUIDES")</f>
        <v xml:space="preserve">          5018 - PURCHASES @ COST-STUDY GUIDES</v>
      </c>
      <c r="C109" s="11"/>
      <c r="D109" s="2">
        <v>444.87</v>
      </c>
      <c r="E109" s="2"/>
      <c r="F109" s="19">
        <f t="shared" si="10"/>
        <v>5.4668001840478336E-4</v>
      </c>
      <c r="G109" s="2"/>
      <c r="H109" s="2"/>
      <c r="I109" s="2"/>
      <c r="J109" s="19">
        <f t="shared" si="11"/>
        <v>0</v>
      </c>
      <c r="K109" s="2"/>
      <c r="L109" s="2">
        <f t="shared" si="12"/>
        <v>444.87</v>
      </c>
      <c r="M109" s="2"/>
      <c r="N109" s="19">
        <f t="shared" si="13"/>
        <v>0</v>
      </c>
      <c r="O109" s="11"/>
      <c r="P109" s="2">
        <v>967.21</v>
      </c>
      <c r="Q109" s="2"/>
      <c r="R109" s="19">
        <f t="shared" si="14"/>
        <v>1.2143018927935931E-4</v>
      </c>
      <c r="S109" s="2"/>
      <c r="T109" s="2"/>
      <c r="U109" s="2"/>
      <c r="V109" s="19">
        <f t="shared" si="15"/>
        <v>0</v>
      </c>
      <c r="W109" s="2"/>
      <c r="X109" s="2">
        <f t="shared" si="16"/>
        <v>967.21</v>
      </c>
      <c r="Y109" s="2"/>
      <c r="Z109" s="19">
        <f t="shared" si="17"/>
        <v>0</v>
      </c>
    </row>
    <row r="110" spans="1:26" s="24" customFormat="1" hidden="1" outlineLevel="1" x14ac:dyDescent="0.25">
      <c r="A110" s="44"/>
      <c r="B110" s="11" t="str">
        <f>CONCATENATE("          ", "5025", " - ", "PURCHASES @ COST-TEST FORMS")</f>
        <v xml:space="preserve">          5025 - PURCHASES @ COST-TEST FORMS</v>
      </c>
      <c r="C110" s="11"/>
      <c r="D110" s="2"/>
      <c r="E110" s="2"/>
      <c r="F110" s="19">
        <f t="shared" si="10"/>
        <v>0</v>
      </c>
      <c r="G110" s="2"/>
      <c r="H110" s="2"/>
      <c r="I110" s="2"/>
      <c r="J110" s="19">
        <f t="shared" si="11"/>
        <v>0</v>
      </c>
      <c r="K110" s="2"/>
      <c r="L110" s="2">
        <f t="shared" si="12"/>
        <v>0</v>
      </c>
      <c r="M110" s="2"/>
      <c r="N110" s="19">
        <f t="shared" si="13"/>
        <v>0</v>
      </c>
      <c r="O110" s="11"/>
      <c r="P110" s="2">
        <v>599.29</v>
      </c>
      <c r="Q110" s="2"/>
      <c r="R110" s="19">
        <f t="shared" si="14"/>
        <v>7.5238984432778025E-5</v>
      </c>
      <c r="S110" s="2"/>
      <c r="T110" s="2"/>
      <c r="U110" s="2"/>
      <c r="V110" s="19">
        <f t="shared" si="15"/>
        <v>0</v>
      </c>
      <c r="W110" s="2"/>
      <c r="X110" s="2">
        <f t="shared" si="16"/>
        <v>599.29</v>
      </c>
      <c r="Y110" s="2"/>
      <c r="Z110" s="19">
        <f t="shared" si="17"/>
        <v>0</v>
      </c>
    </row>
    <row r="111" spans="1:26" s="24" customFormat="1" hidden="1" outlineLevel="1" x14ac:dyDescent="0.25">
      <c r="A111" s="44"/>
      <c r="B111" s="11" t="str">
        <f>CONCATENATE("          ", "5026", " - ", "PURCHASES @ COST-WRITING INSTR")</f>
        <v xml:space="preserve">          5026 - PURCHASES @ COST-WRITING INSTR</v>
      </c>
      <c r="C111" s="11"/>
      <c r="D111" s="2">
        <v>209.64</v>
      </c>
      <c r="E111" s="2"/>
      <c r="F111" s="19">
        <f t="shared" si="10"/>
        <v>2.5761682976685051E-4</v>
      </c>
      <c r="G111" s="2"/>
      <c r="H111" s="2"/>
      <c r="I111" s="2"/>
      <c r="J111" s="19">
        <f t="shared" si="11"/>
        <v>0</v>
      </c>
      <c r="K111" s="2"/>
      <c r="L111" s="2">
        <f t="shared" si="12"/>
        <v>209.64</v>
      </c>
      <c r="M111" s="2"/>
      <c r="N111" s="19">
        <f t="shared" si="13"/>
        <v>0</v>
      </c>
      <c r="O111" s="11"/>
      <c r="P111" s="2">
        <v>584.54999999999995</v>
      </c>
      <c r="Q111" s="2"/>
      <c r="R111" s="19">
        <f t="shared" si="14"/>
        <v>7.3388423551503274E-5</v>
      </c>
      <c r="S111" s="2"/>
      <c r="T111" s="2"/>
      <c r="U111" s="2"/>
      <c r="V111" s="19">
        <f t="shared" si="15"/>
        <v>0</v>
      </c>
      <c r="W111" s="2"/>
      <c r="X111" s="2">
        <f t="shared" si="16"/>
        <v>584.54999999999995</v>
      </c>
      <c r="Y111" s="2"/>
      <c r="Z111" s="19">
        <f t="shared" si="17"/>
        <v>0</v>
      </c>
    </row>
    <row r="112" spans="1:26" s="24" customFormat="1" hidden="1" outlineLevel="1" x14ac:dyDescent="0.25">
      <c r="A112" s="44"/>
      <c r="B112" s="11" t="str">
        <f>CONCATENATE("          ", "5027", " - ", "PURCHASES @ COST-SCHOOL SUPPLI")</f>
        <v xml:space="preserve">          5027 - PURCHASES @ COST-SCHOOL SUPPLI</v>
      </c>
      <c r="C112" s="11"/>
      <c r="D112" s="2">
        <v>2824.53</v>
      </c>
      <c r="E112" s="2"/>
      <c r="F112" s="19">
        <f t="shared" si="10"/>
        <v>3.4709333341984465E-3</v>
      </c>
      <c r="G112" s="2"/>
      <c r="H112" s="2"/>
      <c r="I112" s="2"/>
      <c r="J112" s="19">
        <f t="shared" si="11"/>
        <v>0</v>
      </c>
      <c r="K112" s="2"/>
      <c r="L112" s="2">
        <f t="shared" si="12"/>
        <v>2824.53</v>
      </c>
      <c r="M112" s="2"/>
      <c r="N112" s="19">
        <f t="shared" si="13"/>
        <v>0</v>
      </c>
      <c r="O112" s="11"/>
      <c r="P112" s="2">
        <v>21895.88</v>
      </c>
      <c r="Q112" s="2"/>
      <c r="R112" s="19">
        <f t="shared" si="14"/>
        <v>2.7489592258538868E-3</v>
      </c>
      <c r="S112" s="2"/>
      <c r="T112" s="2"/>
      <c r="U112" s="2"/>
      <c r="V112" s="19">
        <f t="shared" si="15"/>
        <v>0</v>
      </c>
      <c r="W112" s="2"/>
      <c r="X112" s="2">
        <f t="shared" si="16"/>
        <v>21895.88</v>
      </c>
      <c r="Y112" s="2"/>
      <c r="Z112" s="19">
        <f t="shared" si="17"/>
        <v>0</v>
      </c>
    </row>
    <row r="113" spans="1:26" s="24" customFormat="1" hidden="1" outlineLevel="1" x14ac:dyDescent="0.25">
      <c r="A113" s="44"/>
      <c r="B113" s="11" t="str">
        <f>CONCATENATE("          ", "5028", " - ", "PURCHASES @ COST-ART/TECH")</f>
        <v xml:space="preserve">          5028 - PURCHASES @ COST-ART/TECH</v>
      </c>
      <c r="C113" s="11"/>
      <c r="D113" s="2">
        <v>3443.78</v>
      </c>
      <c r="E113" s="2"/>
      <c r="F113" s="19">
        <f t="shared" si="10"/>
        <v>4.2319008109830396E-3</v>
      </c>
      <c r="G113" s="2"/>
      <c r="H113" s="2"/>
      <c r="I113" s="2"/>
      <c r="J113" s="19">
        <f t="shared" si="11"/>
        <v>0</v>
      </c>
      <c r="K113" s="2"/>
      <c r="L113" s="2">
        <f t="shared" si="12"/>
        <v>3443.78</v>
      </c>
      <c r="M113" s="2"/>
      <c r="N113" s="19">
        <f t="shared" si="13"/>
        <v>0</v>
      </c>
      <c r="O113" s="11"/>
      <c r="P113" s="2">
        <v>45635.360000000001</v>
      </c>
      <c r="Q113" s="2"/>
      <c r="R113" s="19">
        <f t="shared" si="14"/>
        <v>5.7293766634254227E-3</v>
      </c>
      <c r="S113" s="2"/>
      <c r="T113" s="2"/>
      <c r="U113" s="2"/>
      <c r="V113" s="19">
        <f t="shared" si="15"/>
        <v>0</v>
      </c>
      <c r="W113" s="2"/>
      <c r="X113" s="2">
        <f t="shared" si="16"/>
        <v>45635.360000000001</v>
      </c>
      <c r="Y113" s="2"/>
      <c r="Z113" s="19">
        <f t="shared" si="17"/>
        <v>0</v>
      </c>
    </row>
    <row r="114" spans="1:26" s="24" customFormat="1" hidden="1" outlineLevel="1" x14ac:dyDescent="0.25">
      <c r="A114" s="44"/>
      <c r="B114" s="11" t="str">
        <f>CONCATENATE("          ", "5031", " - ", "PURCHASES @ COST-FOOD")</f>
        <v xml:space="preserve">          5031 - PURCHASES @ COST-FOOD</v>
      </c>
      <c r="C114" s="11"/>
      <c r="D114" s="2"/>
      <c r="E114" s="2"/>
      <c r="F114" s="19">
        <f t="shared" si="10"/>
        <v>0</v>
      </c>
      <c r="G114" s="2"/>
      <c r="H114" s="2"/>
      <c r="I114" s="2"/>
      <c r="J114" s="19">
        <f t="shared" si="11"/>
        <v>0</v>
      </c>
      <c r="K114" s="2"/>
      <c r="L114" s="2">
        <f t="shared" si="12"/>
        <v>0</v>
      </c>
      <c r="M114" s="2"/>
      <c r="N114" s="19">
        <f t="shared" si="13"/>
        <v>0</v>
      </c>
      <c r="O114" s="11"/>
      <c r="P114" s="2">
        <v>7785.72</v>
      </c>
      <c r="Q114" s="2"/>
      <c r="R114" s="19">
        <f t="shared" si="14"/>
        <v>9.7747278592662744E-4</v>
      </c>
      <c r="S114" s="2"/>
      <c r="T114" s="2"/>
      <c r="U114" s="2"/>
      <c r="V114" s="19">
        <f t="shared" si="15"/>
        <v>0</v>
      </c>
      <c r="W114" s="2"/>
      <c r="X114" s="2">
        <f t="shared" si="16"/>
        <v>7785.72</v>
      </c>
      <c r="Y114" s="2"/>
      <c r="Z114" s="19">
        <f t="shared" si="17"/>
        <v>0</v>
      </c>
    </row>
    <row r="115" spans="1:26" s="24" customFormat="1" hidden="1" outlineLevel="1" x14ac:dyDescent="0.25">
      <c r="A115" s="44"/>
      <c r="B115" s="11" t="str">
        <f>CONCATENATE("          ", "5040", " - ", "PURCHASES @ COST-LOGO CLOTHING")</f>
        <v xml:space="preserve">          5040 - PURCHASES @ COST-LOGO CLOTHING</v>
      </c>
      <c r="C115" s="11"/>
      <c r="D115" s="2">
        <v>45900.51</v>
      </c>
      <c r="E115" s="2"/>
      <c r="F115" s="19">
        <f t="shared" si="10"/>
        <v>5.6404998430078325E-2</v>
      </c>
      <c r="G115" s="2"/>
      <c r="H115" s="2"/>
      <c r="I115" s="2"/>
      <c r="J115" s="19">
        <f t="shared" si="11"/>
        <v>0</v>
      </c>
      <c r="K115" s="2"/>
      <c r="L115" s="2">
        <f t="shared" si="12"/>
        <v>45900.51</v>
      </c>
      <c r="M115" s="2"/>
      <c r="N115" s="19">
        <f t="shared" si="13"/>
        <v>0</v>
      </c>
      <c r="O115" s="11"/>
      <c r="P115" s="2">
        <v>239871.6</v>
      </c>
      <c r="Q115" s="2"/>
      <c r="R115" s="19">
        <f t="shared" si="14"/>
        <v>3.0115128866267684E-2</v>
      </c>
      <c r="S115" s="2"/>
      <c r="T115" s="2"/>
      <c r="U115" s="2"/>
      <c r="V115" s="19">
        <f t="shared" si="15"/>
        <v>0</v>
      </c>
      <c r="W115" s="2"/>
      <c r="X115" s="2">
        <f t="shared" si="16"/>
        <v>239871.6</v>
      </c>
      <c r="Y115" s="2"/>
      <c r="Z115" s="19">
        <f t="shared" si="17"/>
        <v>0</v>
      </c>
    </row>
    <row r="116" spans="1:26" s="24" customFormat="1" hidden="1" outlineLevel="1" x14ac:dyDescent="0.25">
      <c r="A116" s="44"/>
      <c r="B116" s="11" t="str">
        <f>CONCATENATE("          ", "5041", " - ", "PURCHASES @ COST-LOGO GIFTS")</f>
        <v xml:space="preserve">          5041 - PURCHASES @ COST-LOGO GIFTS</v>
      </c>
      <c r="C116" s="11"/>
      <c r="D116" s="2">
        <v>899.63</v>
      </c>
      <c r="E116" s="2"/>
      <c r="F116" s="19">
        <f t="shared" si="10"/>
        <v>1.1055133970766635E-3</v>
      </c>
      <c r="G116" s="2"/>
      <c r="H116" s="2"/>
      <c r="I116" s="2"/>
      <c r="J116" s="19">
        <f t="shared" si="11"/>
        <v>0</v>
      </c>
      <c r="K116" s="2"/>
      <c r="L116" s="2">
        <f t="shared" si="12"/>
        <v>899.63</v>
      </c>
      <c r="M116" s="2"/>
      <c r="N116" s="19">
        <f t="shared" si="13"/>
        <v>0</v>
      </c>
      <c r="O116" s="11"/>
      <c r="P116" s="2">
        <v>68463.44</v>
      </c>
      <c r="Q116" s="2"/>
      <c r="R116" s="19">
        <f t="shared" si="14"/>
        <v>8.5953706825984636E-3</v>
      </c>
      <c r="S116" s="2"/>
      <c r="T116" s="2"/>
      <c r="U116" s="2"/>
      <c r="V116" s="19">
        <f t="shared" si="15"/>
        <v>0</v>
      </c>
      <c r="W116" s="2"/>
      <c r="X116" s="2">
        <f t="shared" si="16"/>
        <v>68463.44</v>
      </c>
      <c r="Y116" s="2"/>
      <c r="Z116" s="19">
        <f t="shared" si="17"/>
        <v>0</v>
      </c>
    </row>
    <row r="117" spans="1:26" s="24" customFormat="1" hidden="1" outlineLevel="1" x14ac:dyDescent="0.25">
      <c r="A117" s="44"/>
      <c r="B117" s="11" t="str">
        <f>CONCATENATE("          ", "5042", " - ", "PURCHASES @ COST-EVERYDAY GIFT")</f>
        <v xml:space="preserve">          5042 - PURCHASES @ COST-EVERYDAY GIFT</v>
      </c>
      <c r="C117" s="11"/>
      <c r="D117" s="2">
        <v>-270</v>
      </c>
      <c r="E117" s="2"/>
      <c r="F117" s="19">
        <f t="shared" si="10"/>
        <v>-3.3179042185198265E-4</v>
      </c>
      <c r="G117" s="2"/>
      <c r="H117" s="2"/>
      <c r="I117" s="2"/>
      <c r="J117" s="19">
        <f t="shared" si="11"/>
        <v>0</v>
      </c>
      <c r="K117" s="2"/>
      <c r="L117" s="2">
        <f t="shared" si="12"/>
        <v>-270</v>
      </c>
      <c r="M117" s="2"/>
      <c r="N117" s="19">
        <f t="shared" si="13"/>
        <v>0</v>
      </c>
      <c r="O117" s="11"/>
      <c r="P117" s="2">
        <v>18748.18</v>
      </c>
      <c r="Q117" s="2"/>
      <c r="R117" s="19">
        <f t="shared" si="14"/>
        <v>2.3537753394231851E-3</v>
      </c>
      <c r="S117" s="2"/>
      <c r="T117" s="2"/>
      <c r="U117" s="2"/>
      <c r="V117" s="19">
        <f t="shared" si="15"/>
        <v>0</v>
      </c>
      <c r="W117" s="2"/>
      <c r="X117" s="2">
        <f t="shared" si="16"/>
        <v>18748.18</v>
      </c>
      <c r="Y117" s="2"/>
      <c r="Z117" s="19">
        <f t="shared" si="17"/>
        <v>0</v>
      </c>
    </row>
    <row r="118" spans="1:26" s="24" customFormat="1" hidden="1" outlineLevel="1" x14ac:dyDescent="0.25">
      <c r="A118" s="44"/>
      <c r="B118" s="11" t="str">
        <f>CONCATENATE("          ", "5043", " - ", "PURCHASES @ COST-CARDS")</f>
        <v xml:space="preserve">          5043 - PURCHASES @ COST-CARDS</v>
      </c>
      <c r="C118" s="11"/>
      <c r="D118" s="2"/>
      <c r="E118" s="2"/>
      <c r="F118" s="19">
        <f t="shared" si="10"/>
        <v>0</v>
      </c>
      <c r="G118" s="2"/>
      <c r="H118" s="2"/>
      <c r="I118" s="2"/>
      <c r="J118" s="19">
        <f t="shared" si="11"/>
        <v>0</v>
      </c>
      <c r="K118" s="2"/>
      <c r="L118" s="2">
        <f t="shared" si="12"/>
        <v>0</v>
      </c>
      <c r="M118" s="2"/>
      <c r="N118" s="19">
        <f t="shared" si="13"/>
        <v>0</v>
      </c>
      <c r="O118" s="11"/>
      <c r="P118" s="2">
        <v>55364.33</v>
      </c>
      <c r="Q118" s="2"/>
      <c r="R118" s="19">
        <f t="shared" si="14"/>
        <v>6.9508184067833372E-3</v>
      </c>
      <c r="S118" s="2"/>
      <c r="T118" s="2"/>
      <c r="U118" s="2"/>
      <c r="V118" s="19">
        <f t="shared" si="15"/>
        <v>0</v>
      </c>
      <c r="W118" s="2"/>
      <c r="X118" s="2">
        <f t="shared" si="16"/>
        <v>55364.33</v>
      </c>
      <c r="Y118" s="2"/>
      <c r="Z118" s="19">
        <f t="shared" si="17"/>
        <v>0</v>
      </c>
    </row>
    <row r="119" spans="1:26" s="24" customFormat="1" hidden="1" outlineLevel="1" x14ac:dyDescent="0.25">
      <c r="A119" s="44"/>
      <c r="B119" s="11" t="str">
        <f>CONCATENATE("          ", "5044", " - ", "PURCHASES @ COST-ACCESSORIES")</f>
        <v xml:space="preserve">          5044 - PURCHASES @ COST-ACCESSORIES</v>
      </c>
      <c r="C119" s="11"/>
      <c r="D119" s="2"/>
      <c r="E119" s="2"/>
      <c r="F119" s="19">
        <f t="shared" si="10"/>
        <v>0</v>
      </c>
      <c r="G119" s="2"/>
      <c r="H119" s="2"/>
      <c r="I119" s="2"/>
      <c r="J119" s="19">
        <f t="shared" si="11"/>
        <v>0</v>
      </c>
      <c r="K119" s="2"/>
      <c r="L119" s="2">
        <f t="shared" si="12"/>
        <v>0</v>
      </c>
      <c r="M119" s="2"/>
      <c r="N119" s="19">
        <f t="shared" si="13"/>
        <v>0</v>
      </c>
      <c r="O119" s="11"/>
      <c r="P119" s="2">
        <v>1064.83</v>
      </c>
      <c r="Q119" s="2"/>
      <c r="R119" s="19">
        <f t="shared" si="14"/>
        <v>1.3368607484449103E-4</v>
      </c>
      <c r="S119" s="2"/>
      <c r="T119" s="2"/>
      <c r="U119" s="2"/>
      <c r="V119" s="19">
        <f t="shared" si="15"/>
        <v>0</v>
      </c>
      <c r="W119" s="2"/>
      <c r="X119" s="2">
        <f t="shared" si="16"/>
        <v>1064.83</v>
      </c>
      <c r="Y119" s="2"/>
      <c r="Z119" s="19">
        <f t="shared" si="17"/>
        <v>0</v>
      </c>
    </row>
    <row r="120" spans="1:26" s="24" customFormat="1" hidden="1" outlineLevel="1" x14ac:dyDescent="0.25">
      <c r="A120" s="44"/>
      <c r="B120" s="11" t="str">
        <f>CONCATENATE("          ", "5045", " - ", "PURCHASES @ COST-SPECIAL ORDER")</f>
        <v xml:space="preserve">          5045 - PURCHASES @ COST-SPECIAL ORDER</v>
      </c>
      <c r="C120" s="11"/>
      <c r="D120" s="2">
        <v>13853.18</v>
      </c>
      <c r="E120" s="2"/>
      <c r="F120" s="19">
        <f t="shared" si="10"/>
        <v>1.7023527541449812E-2</v>
      </c>
      <c r="G120" s="2"/>
      <c r="H120" s="2"/>
      <c r="I120" s="2"/>
      <c r="J120" s="19">
        <f t="shared" si="11"/>
        <v>0</v>
      </c>
      <c r="K120" s="2"/>
      <c r="L120" s="2">
        <f t="shared" si="12"/>
        <v>13853.18</v>
      </c>
      <c r="M120" s="2"/>
      <c r="N120" s="19">
        <f t="shared" si="13"/>
        <v>0</v>
      </c>
      <c r="O120" s="11"/>
      <c r="P120" s="2">
        <v>109226.69</v>
      </c>
      <c r="Q120" s="2"/>
      <c r="R120" s="19">
        <f t="shared" si="14"/>
        <v>1.3713069179452139E-2</v>
      </c>
      <c r="S120" s="2"/>
      <c r="T120" s="2"/>
      <c r="U120" s="2"/>
      <c r="V120" s="19">
        <f t="shared" si="15"/>
        <v>0</v>
      </c>
      <c r="W120" s="2"/>
      <c r="X120" s="2">
        <f t="shared" si="16"/>
        <v>109226.69</v>
      </c>
      <c r="Y120" s="2"/>
      <c r="Z120" s="19">
        <f t="shared" si="17"/>
        <v>0</v>
      </c>
    </row>
    <row r="121" spans="1:26" s="24" customFormat="1" hidden="1" outlineLevel="1" x14ac:dyDescent="0.25">
      <c r="A121" s="44"/>
      <c r="B121" s="11" t="str">
        <f>CONCATENATE("          ", "5053", " - ", "PURCHASES @ COST-FOOD")</f>
        <v xml:space="preserve">          5053 - PURCHASES @ COST-FOOD</v>
      </c>
      <c r="C121" s="11"/>
      <c r="D121" s="2">
        <v>32724.15</v>
      </c>
      <c r="E121" s="2"/>
      <c r="F121" s="19">
        <f t="shared" si="10"/>
        <v>4.0213183456472436E-2</v>
      </c>
      <c r="G121" s="2"/>
      <c r="H121" s="2"/>
      <c r="I121" s="2"/>
      <c r="J121" s="19">
        <f t="shared" si="11"/>
        <v>0</v>
      </c>
      <c r="K121" s="2"/>
      <c r="L121" s="2">
        <f t="shared" si="12"/>
        <v>32724.15</v>
      </c>
      <c r="M121" s="2"/>
      <c r="N121" s="19">
        <f t="shared" si="13"/>
        <v>0</v>
      </c>
      <c r="O121" s="11"/>
      <c r="P121" s="2">
        <v>375005.39</v>
      </c>
      <c r="Q121" s="2"/>
      <c r="R121" s="19">
        <f t="shared" si="14"/>
        <v>4.7080753392210545E-2</v>
      </c>
      <c r="S121" s="2"/>
      <c r="T121" s="2"/>
      <c r="U121" s="2"/>
      <c r="V121" s="19">
        <f t="shared" si="15"/>
        <v>0</v>
      </c>
      <c r="W121" s="2"/>
      <c r="X121" s="2">
        <f t="shared" si="16"/>
        <v>375005.39</v>
      </c>
      <c r="Y121" s="2"/>
      <c r="Z121" s="19">
        <f t="shared" si="17"/>
        <v>0</v>
      </c>
    </row>
    <row r="122" spans="1:26" s="24" customFormat="1" hidden="1" outlineLevel="1" x14ac:dyDescent="0.25">
      <c r="A122" s="44"/>
      <c r="B122" s="11" t="str">
        <f>CONCATENATE("          ", "5059", " - ", "PURCHASES @ COST-FOOD")</f>
        <v xml:space="preserve">          5059 - PURCHASES @ COST-FOOD</v>
      </c>
      <c r="C122" s="11"/>
      <c r="D122" s="2">
        <v>5155</v>
      </c>
      <c r="E122" s="2"/>
      <c r="F122" s="19">
        <f t="shared" si="10"/>
        <v>6.3347393505443347E-3</v>
      </c>
      <c r="G122" s="2"/>
      <c r="H122" s="2"/>
      <c r="I122" s="2"/>
      <c r="J122" s="19">
        <f t="shared" si="11"/>
        <v>0</v>
      </c>
      <c r="K122" s="2"/>
      <c r="L122" s="2">
        <f t="shared" si="12"/>
        <v>5155</v>
      </c>
      <c r="M122" s="2"/>
      <c r="N122" s="19">
        <f t="shared" si="13"/>
        <v>0</v>
      </c>
      <c r="O122" s="11"/>
      <c r="P122" s="2">
        <v>31841.29</v>
      </c>
      <c r="Q122" s="2"/>
      <c r="R122" s="19">
        <f t="shared" si="14"/>
        <v>3.9975743340111983E-3</v>
      </c>
      <c r="S122" s="2"/>
      <c r="T122" s="2"/>
      <c r="U122" s="2"/>
      <c r="V122" s="19">
        <f t="shared" si="15"/>
        <v>0</v>
      </c>
      <c r="W122" s="2"/>
      <c r="X122" s="2">
        <f t="shared" si="16"/>
        <v>31841.29</v>
      </c>
      <c r="Y122" s="2"/>
      <c r="Z122" s="19">
        <f t="shared" si="17"/>
        <v>0</v>
      </c>
    </row>
    <row r="123" spans="1:26" s="24" customFormat="1" hidden="1" outlineLevel="1" x14ac:dyDescent="0.25">
      <c r="A123" s="44"/>
      <c r="B123" s="11" t="str">
        <f>CONCATENATE("          ", "5081", " - ", "PURCHASES @ COST-ELECTRONICS")</f>
        <v xml:space="preserve">          5081 - PURCHASES @ COST-ELECTRONICS</v>
      </c>
      <c r="C123" s="11"/>
      <c r="D123" s="2">
        <v>309.97000000000003</v>
      </c>
      <c r="E123" s="2"/>
      <c r="F123" s="19">
        <f t="shared" si="10"/>
        <v>3.8090769282021877E-4</v>
      </c>
      <c r="G123" s="2"/>
      <c r="H123" s="2"/>
      <c r="I123" s="2"/>
      <c r="J123" s="19">
        <f t="shared" si="11"/>
        <v>0</v>
      </c>
      <c r="K123" s="2"/>
      <c r="L123" s="2">
        <f t="shared" si="12"/>
        <v>309.97000000000003</v>
      </c>
      <c r="M123" s="2"/>
      <c r="N123" s="19">
        <f t="shared" si="13"/>
        <v>0</v>
      </c>
      <c r="O123" s="11"/>
      <c r="P123" s="2">
        <v>32467.87</v>
      </c>
      <c r="Q123" s="2"/>
      <c r="R123" s="19">
        <f t="shared" si="14"/>
        <v>4.076239492558629E-3</v>
      </c>
      <c r="S123" s="2"/>
      <c r="T123" s="2"/>
      <c r="U123" s="2"/>
      <c r="V123" s="19">
        <f t="shared" si="15"/>
        <v>0</v>
      </c>
      <c r="W123" s="2"/>
      <c r="X123" s="2">
        <f t="shared" si="16"/>
        <v>32467.87</v>
      </c>
      <c r="Y123" s="2"/>
      <c r="Z123" s="19">
        <f t="shared" si="17"/>
        <v>0</v>
      </c>
    </row>
    <row r="124" spans="1:26" s="24" customFormat="1" hidden="1" outlineLevel="1" x14ac:dyDescent="0.25">
      <c r="A124" s="44"/>
      <c r="B124" s="11" t="str">
        <f>CONCATENATE("          ", "5082", " - ", "PURCHASES @ COST-COMPUTER HARD")</f>
        <v xml:space="preserve">          5082 - PURCHASES @ COST-COMPUTER HARD</v>
      </c>
      <c r="C124" s="11"/>
      <c r="D124" s="2">
        <v>132715.92000000001</v>
      </c>
      <c r="E124" s="2"/>
      <c r="F124" s="19">
        <f t="shared" si="10"/>
        <v>0.16308841141953326</v>
      </c>
      <c r="G124" s="2"/>
      <c r="H124" s="2"/>
      <c r="I124" s="2"/>
      <c r="J124" s="19">
        <f t="shared" si="11"/>
        <v>0</v>
      </c>
      <c r="K124" s="2"/>
      <c r="L124" s="2">
        <f t="shared" si="12"/>
        <v>132715.92000000001</v>
      </c>
      <c r="M124" s="2"/>
      <c r="N124" s="19">
        <f t="shared" si="13"/>
        <v>0</v>
      </c>
      <c r="O124" s="11"/>
      <c r="P124" s="2">
        <v>1396293.76</v>
      </c>
      <c r="Q124" s="2"/>
      <c r="R124" s="19">
        <f t="shared" si="14"/>
        <v>0.17530031282388345</v>
      </c>
      <c r="S124" s="2"/>
      <c r="T124" s="2"/>
      <c r="U124" s="2"/>
      <c r="V124" s="19">
        <f t="shared" si="15"/>
        <v>0</v>
      </c>
      <c r="W124" s="2"/>
      <c r="X124" s="2">
        <f t="shared" si="16"/>
        <v>1396293.76</v>
      </c>
      <c r="Y124" s="2"/>
      <c r="Z124" s="19">
        <f t="shared" si="17"/>
        <v>0</v>
      </c>
    </row>
    <row r="125" spans="1:26" s="24" customFormat="1" hidden="1" outlineLevel="1" x14ac:dyDescent="0.25">
      <c r="A125" s="44"/>
      <c r="B125" s="11" t="str">
        <f>CONCATENATE("          ", "5083", " - ", "PURCHASES @ COST-COMPUTER EQUI")</f>
        <v xml:space="preserve">          5083 - PURCHASES @ COST-COMPUTER EQUI</v>
      </c>
      <c r="C125" s="11"/>
      <c r="D125" s="2">
        <v>6015.06</v>
      </c>
      <c r="E125" s="2"/>
      <c r="F125" s="19">
        <f t="shared" si="10"/>
        <v>7.39162701801847E-3</v>
      </c>
      <c r="G125" s="2"/>
      <c r="H125" s="2"/>
      <c r="I125" s="2"/>
      <c r="J125" s="19">
        <f t="shared" si="11"/>
        <v>0</v>
      </c>
      <c r="K125" s="2"/>
      <c r="L125" s="2">
        <f t="shared" si="12"/>
        <v>6015.06</v>
      </c>
      <c r="M125" s="2"/>
      <c r="N125" s="19">
        <f t="shared" si="13"/>
        <v>0</v>
      </c>
      <c r="O125" s="11"/>
      <c r="P125" s="2">
        <v>105203.33</v>
      </c>
      <c r="Q125" s="2"/>
      <c r="R125" s="19">
        <f t="shared" si="14"/>
        <v>1.3207948919799112E-2</v>
      </c>
      <c r="S125" s="2"/>
      <c r="T125" s="2"/>
      <c r="U125" s="2"/>
      <c r="V125" s="19">
        <f t="shared" si="15"/>
        <v>0</v>
      </c>
      <c r="W125" s="2"/>
      <c r="X125" s="2">
        <f t="shared" si="16"/>
        <v>105203.33</v>
      </c>
      <c r="Y125" s="2"/>
      <c r="Z125" s="19">
        <f t="shared" si="17"/>
        <v>0</v>
      </c>
    </row>
    <row r="126" spans="1:26" s="24" customFormat="1" hidden="1" outlineLevel="1" x14ac:dyDescent="0.25">
      <c r="A126" s="44"/>
      <c r="B126" s="11" t="str">
        <f>CONCATENATE("          ", "5085", " - ", "PURCHASES @ COST-SOFTWARE")</f>
        <v xml:space="preserve">          5085 - PURCHASES @ COST-SOFTWARE</v>
      </c>
      <c r="C126" s="11"/>
      <c r="D126" s="2">
        <v>3753.26</v>
      </c>
      <c r="E126" s="2"/>
      <c r="F126" s="19">
        <f t="shared" si="10"/>
        <v>4.612206365630268E-3</v>
      </c>
      <c r="G126" s="2"/>
      <c r="H126" s="2"/>
      <c r="I126" s="2"/>
      <c r="J126" s="19">
        <f t="shared" si="11"/>
        <v>0</v>
      </c>
      <c r="K126" s="2"/>
      <c r="L126" s="2">
        <f t="shared" si="12"/>
        <v>3753.26</v>
      </c>
      <c r="M126" s="2"/>
      <c r="N126" s="19">
        <f t="shared" si="13"/>
        <v>0</v>
      </c>
      <c r="O126" s="11"/>
      <c r="P126" s="2">
        <v>33898.71</v>
      </c>
      <c r="Q126" s="2"/>
      <c r="R126" s="19">
        <f t="shared" si="14"/>
        <v>4.2558769777257368E-3</v>
      </c>
      <c r="S126" s="2"/>
      <c r="T126" s="2"/>
      <c r="U126" s="2"/>
      <c r="V126" s="19">
        <f t="shared" si="15"/>
        <v>0</v>
      </c>
      <c r="W126" s="2"/>
      <c r="X126" s="2">
        <f t="shared" si="16"/>
        <v>33898.71</v>
      </c>
      <c r="Y126" s="2"/>
      <c r="Z126" s="19">
        <f t="shared" si="17"/>
        <v>0</v>
      </c>
    </row>
    <row r="127" spans="1:26" s="24" customFormat="1" hidden="1" outlineLevel="1" x14ac:dyDescent="0.25">
      <c r="A127" s="44"/>
      <c r="B127" s="11" t="str">
        <f>CONCATENATE("          ", "5086", " - ", "PURCHASES @ COST-COMPUTER SUPP")</f>
        <v xml:space="preserve">          5086 - PURCHASES @ COST-COMPUTER SUPP</v>
      </c>
      <c r="C127" s="11"/>
      <c r="D127" s="2">
        <v>525.71</v>
      </c>
      <c r="E127" s="2"/>
      <c r="F127" s="19">
        <f t="shared" si="10"/>
        <v>6.4602052841409555E-4</v>
      </c>
      <c r="G127" s="2"/>
      <c r="H127" s="2"/>
      <c r="I127" s="2"/>
      <c r="J127" s="19">
        <f t="shared" si="11"/>
        <v>0</v>
      </c>
      <c r="K127" s="2"/>
      <c r="L127" s="2">
        <f t="shared" si="12"/>
        <v>525.71</v>
      </c>
      <c r="M127" s="2"/>
      <c r="N127" s="19">
        <f t="shared" si="13"/>
        <v>0</v>
      </c>
      <c r="O127" s="11"/>
      <c r="P127" s="2">
        <v>23664.2</v>
      </c>
      <c r="Q127" s="2"/>
      <c r="R127" s="19">
        <f t="shared" si="14"/>
        <v>2.9709662691086887E-3</v>
      </c>
      <c r="S127" s="2"/>
      <c r="T127" s="2"/>
      <c r="U127" s="2"/>
      <c r="V127" s="19">
        <f t="shared" si="15"/>
        <v>0</v>
      </c>
      <c r="W127" s="2"/>
      <c r="X127" s="2">
        <f t="shared" si="16"/>
        <v>23664.2</v>
      </c>
      <c r="Y127" s="2"/>
      <c r="Z127" s="19">
        <f t="shared" si="17"/>
        <v>0</v>
      </c>
    </row>
    <row r="128" spans="1:26" s="24" customFormat="1" hidden="1" outlineLevel="1" x14ac:dyDescent="0.25">
      <c r="A128" s="44"/>
      <c r="B128" s="11" t="str">
        <f>CONCATENATE("          ", "5092", " - ", "PURCHASES @ COST-GRAD MERCH")</f>
        <v xml:space="preserve">          5092 - PURCHASES @ COST-GRAD MERCH</v>
      </c>
      <c r="C128" s="11"/>
      <c r="D128" s="2"/>
      <c r="E128" s="2"/>
      <c r="F128" s="19">
        <f t="shared" si="10"/>
        <v>0</v>
      </c>
      <c r="G128" s="2"/>
      <c r="H128" s="2"/>
      <c r="I128" s="2"/>
      <c r="J128" s="19">
        <f t="shared" si="11"/>
        <v>0</v>
      </c>
      <c r="K128" s="2"/>
      <c r="L128" s="2">
        <f t="shared" si="12"/>
        <v>0</v>
      </c>
      <c r="M128" s="2"/>
      <c r="N128" s="19">
        <f t="shared" si="13"/>
        <v>0</v>
      </c>
      <c r="O128" s="11"/>
      <c r="P128" s="2">
        <v>0</v>
      </c>
      <c r="Q128" s="2"/>
      <c r="R128" s="19">
        <f t="shared" si="14"/>
        <v>0</v>
      </c>
      <c r="S128" s="2"/>
      <c r="T128" s="2"/>
      <c r="U128" s="2"/>
      <c r="V128" s="19">
        <f t="shared" si="15"/>
        <v>0</v>
      </c>
      <c r="W128" s="2"/>
      <c r="X128" s="2">
        <f t="shared" si="16"/>
        <v>0</v>
      </c>
      <c r="Y128" s="2"/>
      <c r="Z128" s="19">
        <f t="shared" si="17"/>
        <v>0</v>
      </c>
    </row>
    <row r="129" spans="1:26" s="24" customFormat="1" hidden="1" outlineLevel="1" x14ac:dyDescent="0.25">
      <c r="A129" s="44"/>
      <c r="B129" s="11" t="str">
        <f>CONCATENATE("          ", "5200", " - ", "PURCHASES OFFSET")</f>
        <v xml:space="preserve">          5200 - PURCHASES OFFSET</v>
      </c>
      <c r="C129" s="11"/>
      <c r="D129" s="2">
        <v>73739.19</v>
      </c>
      <c r="E129" s="2"/>
      <c r="F129" s="19">
        <f t="shared" si="10"/>
        <v>9.0614655396753702E-2</v>
      </c>
      <c r="G129" s="2"/>
      <c r="H129" s="2"/>
      <c r="I129" s="2"/>
      <c r="J129" s="19">
        <f t="shared" si="11"/>
        <v>0</v>
      </c>
      <c r="K129" s="2"/>
      <c r="L129" s="2">
        <f t="shared" si="12"/>
        <v>73739.19</v>
      </c>
      <c r="M129" s="2"/>
      <c r="N129" s="19">
        <f t="shared" si="13"/>
        <v>0</v>
      </c>
      <c r="O129" s="11"/>
      <c r="P129" s="2">
        <v>-3351949.73</v>
      </c>
      <c r="Q129" s="2"/>
      <c r="R129" s="19">
        <f t="shared" si="14"/>
        <v>-0.42082680097269187</v>
      </c>
      <c r="S129" s="2"/>
      <c r="T129" s="2"/>
      <c r="U129" s="2"/>
      <c r="V129" s="19">
        <f t="shared" si="15"/>
        <v>0</v>
      </c>
      <c r="W129" s="2"/>
      <c r="X129" s="2">
        <f t="shared" si="16"/>
        <v>-3351949.73</v>
      </c>
      <c r="Y129" s="2"/>
      <c r="Z129" s="19">
        <f t="shared" si="17"/>
        <v>0</v>
      </c>
    </row>
    <row r="130" spans="1:26" s="24" customFormat="1" hidden="1" outlineLevel="1" x14ac:dyDescent="0.25">
      <c r="A130" s="44"/>
      <c r="B130" s="11" t="str">
        <f>CONCATENATE("          ", "5300", " - ", "COG$ OFFSET")</f>
        <v xml:space="preserve">          5300 - COG$ OFFSET</v>
      </c>
      <c r="C130" s="11"/>
      <c r="D130" s="2">
        <v>453621</v>
      </c>
      <c r="E130" s="2"/>
      <c r="F130" s="19">
        <f t="shared" si="10"/>
        <v>0.55743371463303037</v>
      </c>
      <c r="G130" s="2"/>
      <c r="H130" s="2"/>
      <c r="I130" s="2"/>
      <c r="J130" s="19">
        <f t="shared" si="11"/>
        <v>0</v>
      </c>
      <c r="K130" s="2"/>
      <c r="L130" s="2">
        <f t="shared" si="12"/>
        <v>453621</v>
      </c>
      <c r="M130" s="2"/>
      <c r="N130" s="19">
        <f t="shared" si="13"/>
        <v>0</v>
      </c>
      <c r="O130" s="11"/>
      <c r="P130" s="2">
        <v>4038084</v>
      </c>
      <c r="Q130" s="2"/>
      <c r="R130" s="19">
        <f t="shared" si="14"/>
        <v>0.50696881178436159</v>
      </c>
      <c r="S130" s="2"/>
      <c r="T130" s="2"/>
      <c r="U130" s="2"/>
      <c r="V130" s="19">
        <f t="shared" si="15"/>
        <v>0</v>
      </c>
      <c r="W130" s="2"/>
      <c r="X130" s="2">
        <f t="shared" si="16"/>
        <v>4038084</v>
      </c>
      <c r="Y130" s="2"/>
      <c r="Z130" s="19">
        <f t="shared" si="17"/>
        <v>0</v>
      </c>
    </row>
    <row r="131" spans="1:26" s="24" customFormat="1" hidden="1" outlineLevel="1" x14ac:dyDescent="0.25">
      <c r="A131" s="44"/>
      <c r="B131" s="11" t="str">
        <f>CONCATENATE("          ", "5500", " - ", "FREIGHT-IN")</f>
        <v xml:space="preserve">          5500 - FREIGHT-IN</v>
      </c>
      <c r="C131" s="11"/>
      <c r="D131" s="2"/>
      <c r="E131" s="2"/>
      <c r="F131" s="19">
        <f t="shared" si="10"/>
        <v>0</v>
      </c>
      <c r="G131" s="2"/>
      <c r="H131" s="2"/>
      <c r="I131" s="2"/>
      <c r="J131" s="19">
        <f t="shared" si="11"/>
        <v>0</v>
      </c>
      <c r="K131" s="2"/>
      <c r="L131" s="2">
        <f t="shared" si="12"/>
        <v>0</v>
      </c>
      <c r="M131" s="2"/>
      <c r="N131" s="19">
        <f t="shared" si="13"/>
        <v>0</v>
      </c>
      <c r="O131" s="11"/>
      <c r="P131" s="2">
        <v>0</v>
      </c>
      <c r="Q131" s="2"/>
      <c r="R131" s="19">
        <f t="shared" si="14"/>
        <v>0</v>
      </c>
      <c r="S131" s="2"/>
      <c r="T131" s="2"/>
      <c r="U131" s="2"/>
      <c r="V131" s="19">
        <f t="shared" si="15"/>
        <v>0</v>
      </c>
      <c r="W131" s="2"/>
      <c r="X131" s="2">
        <f t="shared" si="16"/>
        <v>0</v>
      </c>
      <c r="Y131" s="2"/>
      <c r="Z131" s="19">
        <f t="shared" si="17"/>
        <v>0</v>
      </c>
    </row>
    <row r="132" spans="1:26" s="24" customFormat="1" hidden="1" outlineLevel="1" x14ac:dyDescent="0.25">
      <c r="A132" s="44"/>
      <c r="B132" s="11" t="str">
        <f>CONCATENATE("          ", "5501", " - ", "FREIGHT-IN-NEW TEXT")</f>
        <v xml:space="preserve">          5501 - FREIGHT-IN-NEW TEXT</v>
      </c>
      <c r="C132" s="11"/>
      <c r="D132" s="2">
        <v>785.54</v>
      </c>
      <c r="E132" s="2"/>
      <c r="F132" s="19">
        <f t="shared" si="10"/>
        <v>9.6531351104298677E-4</v>
      </c>
      <c r="G132" s="2"/>
      <c r="H132" s="2"/>
      <c r="I132" s="2"/>
      <c r="J132" s="19">
        <f t="shared" si="11"/>
        <v>0</v>
      </c>
      <c r="K132" s="2"/>
      <c r="L132" s="2">
        <f t="shared" si="12"/>
        <v>785.54</v>
      </c>
      <c r="M132" s="2"/>
      <c r="N132" s="19">
        <f t="shared" si="13"/>
        <v>0</v>
      </c>
      <c r="O132" s="11"/>
      <c r="P132" s="2">
        <v>50042.46</v>
      </c>
      <c r="Q132" s="2"/>
      <c r="R132" s="19">
        <f t="shared" si="14"/>
        <v>6.2826742794271848E-3</v>
      </c>
      <c r="S132" s="2"/>
      <c r="T132" s="2"/>
      <c r="U132" s="2"/>
      <c r="V132" s="19">
        <f t="shared" si="15"/>
        <v>0</v>
      </c>
      <c r="W132" s="2"/>
      <c r="X132" s="2">
        <f t="shared" si="16"/>
        <v>50042.46</v>
      </c>
      <c r="Y132" s="2"/>
      <c r="Z132" s="19">
        <f t="shared" si="17"/>
        <v>0</v>
      </c>
    </row>
    <row r="133" spans="1:26" s="24" customFormat="1" hidden="1" outlineLevel="1" x14ac:dyDescent="0.25">
      <c r="A133" s="44"/>
      <c r="B133" s="11" t="str">
        <f>CONCATENATE("          ", "5502", " - ", "FREIGHT-IN-USED TEXT")</f>
        <v xml:space="preserve">          5502 - FREIGHT-IN-USED TEXT</v>
      </c>
      <c r="C133" s="11"/>
      <c r="D133" s="2">
        <v>663.37</v>
      </c>
      <c r="E133" s="2"/>
      <c r="F133" s="19">
        <f t="shared" si="10"/>
        <v>8.1518448942203604E-4</v>
      </c>
      <c r="G133" s="2"/>
      <c r="H133" s="2"/>
      <c r="I133" s="2"/>
      <c r="J133" s="19">
        <f t="shared" si="11"/>
        <v>0</v>
      </c>
      <c r="K133" s="2"/>
      <c r="L133" s="2">
        <f t="shared" si="12"/>
        <v>663.37</v>
      </c>
      <c r="M133" s="2"/>
      <c r="N133" s="19">
        <f t="shared" si="13"/>
        <v>0</v>
      </c>
      <c r="O133" s="11"/>
      <c r="P133" s="2">
        <v>17800.13</v>
      </c>
      <c r="Q133" s="2"/>
      <c r="R133" s="19">
        <f t="shared" si="14"/>
        <v>2.2347506281957404E-3</v>
      </c>
      <c r="S133" s="2"/>
      <c r="T133" s="2"/>
      <c r="U133" s="2"/>
      <c r="V133" s="19">
        <f t="shared" si="15"/>
        <v>0</v>
      </c>
      <c r="W133" s="2"/>
      <c r="X133" s="2">
        <f t="shared" si="16"/>
        <v>17800.13</v>
      </c>
      <c r="Y133" s="2"/>
      <c r="Z133" s="19">
        <f t="shared" si="17"/>
        <v>0</v>
      </c>
    </row>
    <row r="134" spans="1:26" s="24" customFormat="1" hidden="1" outlineLevel="1" x14ac:dyDescent="0.25">
      <c r="A134" s="44"/>
      <c r="B134" s="11" t="str">
        <f>CONCATENATE("          ", "5504", " - ", "FREIGHT-IN-DIGITAL TEXT")</f>
        <v xml:space="preserve">          5504 - FREIGHT-IN-DIGITAL TEXT</v>
      </c>
      <c r="C134" s="11"/>
      <c r="D134" s="2"/>
      <c r="E134" s="2"/>
      <c r="F134" s="19">
        <f t="shared" si="10"/>
        <v>0</v>
      </c>
      <c r="G134" s="2"/>
      <c r="H134" s="2"/>
      <c r="I134" s="2"/>
      <c r="J134" s="19">
        <f t="shared" si="11"/>
        <v>0</v>
      </c>
      <c r="K134" s="2"/>
      <c r="L134" s="2">
        <f t="shared" si="12"/>
        <v>0</v>
      </c>
      <c r="M134" s="2"/>
      <c r="N134" s="19">
        <f t="shared" si="13"/>
        <v>0</v>
      </c>
      <c r="O134" s="11"/>
      <c r="P134" s="2">
        <v>28.92</v>
      </c>
      <c r="Q134" s="2"/>
      <c r="R134" s="19">
        <f t="shared" si="14"/>
        <v>3.6308155146856128E-6</v>
      </c>
      <c r="S134" s="2"/>
      <c r="T134" s="2"/>
      <c r="U134" s="2"/>
      <c r="V134" s="19">
        <f t="shared" si="15"/>
        <v>0</v>
      </c>
      <c r="W134" s="2"/>
      <c r="X134" s="2">
        <f t="shared" si="16"/>
        <v>28.92</v>
      </c>
      <c r="Y134" s="2"/>
      <c r="Z134" s="19">
        <f t="shared" si="17"/>
        <v>0</v>
      </c>
    </row>
    <row r="135" spans="1:26" s="24" customFormat="1" hidden="1" outlineLevel="1" x14ac:dyDescent="0.25">
      <c r="A135" s="44"/>
      <c r="B135" s="11" t="str">
        <f>CONCATENATE("          ", "5513", " - ", "FREIGHT-IN-TRADE BOOKS")</f>
        <v xml:space="preserve">          5513 - FREIGHT-IN-TRADE BOOKS</v>
      </c>
      <c r="C135" s="11"/>
      <c r="D135" s="2">
        <v>51.76</v>
      </c>
      <c r="E135" s="2"/>
      <c r="F135" s="19">
        <f t="shared" si="10"/>
        <v>6.3605452722439329E-5</v>
      </c>
      <c r="G135" s="2"/>
      <c r="H135" s="2"/>
      <c r="I135" s="2"/>
      <c r="J135" s="19">
        <f t="shared" si="11"/>
        <v>0</v>
      </c>
      <c r="K135" s="2"/>
      <c r="L135" s="2">
        <f t="shared" si="12"/>
        <v>51.76</v>
      </c>
      <c r="M135" s="2"/>
      <c r="N135" s="19">
        <f t="shared" si="13"/>
        <v>0</v>
      </c>
      <c r="O135" s="11"/>
      <c r="P135" s="2">
        <v>85.28</v>
      </c>
      <c r="Q135" s="2"/>
      <c r="R135" s="19">
        <f t="shared" si="14"/>
        <v>1.0706637174702249E-5</v>
      </c>
      <c r="S135" s="2"/>
      <c r="T135" s="2"/>
      <c r="U135" s="2"/>
      <c r="V135" s="19">
        <f t="shared" si="15"/>
        <v>0</v>
      </c>
      <c r="W135" s="2"/>
      <c r="X135" s="2">
        <f t="shared" si="16"/>
        <v>85.28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"5525", " - ", "FREIGHT-IN-TEST FORMS")</f>
        <v xml:space="preserve">          5525 - FREIGHT-IN-TEST FORMS</v>
      </c>
      <c r="C136" s="11"/>
      <c r="D136" s="2"/>
      <c r="E136" s="2"/>
      <c r="F136" s="19">
        <f t="shared" si="10"/>
        <v>0</v>
      </c>
      <c r="G136" s="2"/>
      <c r="H136" s="2"/>
      <c r="I136" s="2"/>
      <c r="J136" s="19">
        <f t="shared" si="11"/>
        <v>0</v>
      </c>
      <c r="K136" s="2"/>
      <c r="L136" s="2">
        <f t="shared" si="12"/>
        <v>0</v>
      </c>
      <c r="M136" s="2"/>
      <c r="N136" s="19">
        <f t="shared" si="13"/>
        <v>0</v>
      </c>
      <c r="O136" s="11"/>
      <c r="P136" s="2">
        <v>48.14</v>
      </c>
      <c r="Q136" s="2"/>
      <c r="R136" s="19">
        <f t="shared" si="14"/>
        <v>6.0438263788715556E-6</v>
      </c>
      <c r="S136" s="2"/>
      <c r="T136" s="2"/>
      <c r="U136" s="2"/>
      <c r="V136" s="19">
        <f t="shared" si="15"/>
        <v>0</v>
      </c>
      <c r="W136" s="2"/>
      <c r="X136" s="2">
        <f t="shared" si="16"/>
        <v>48.14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"5526", " - ", "FREIGHT-IN-WRITING INSTRUMENTS")</f>
        <v xml:space="preserve">          5526 - FREIGHT-IN-WRITING INSTRUMENTS</v>
      </c>
      <c r="C137" s="11"/>
      <c r="D137" s="2"/>
      <c r="E137" s="2"/>
      <c r="F137" s="19">
        <f t="shared" si="10"/>
        <v>0</v>
      </c>
      <c r="G137" s="2"/>
      <c r="H137" s="2"/>
      <c r="I137" s="2"/>
      <c r="J137" s="19">
        <f t="shared" si="11"/>
        <v>0</v>
      </c>
      <c r="K137" s="2"/>
      <c r="L137" s="2">
        <f t="shared" si="12"/>
        <v>0</v>
      </c>
      <c r="M137" s="2"/>
      <c r="N137" s="19">
        <f t="shared" si="13"/>
        <v>0</v>
      </c>
      <c r="O137" s="11"/>
      <c r="P137" s="2">
        <v>0</v>
      </c>
      <c r="Q137" s="2"/>
      <c r="R137" s="19">
        <f t="shared" si="14"/>
        <v>0</v>
      </c>
      <c r="S137" s="2"/>
      <c r="T137" s="2"/>
      <c r="U137" s="2"/>
      <c r="V137" s="19">
        <f t="shared" si="15"/>
        <v>0</v>
      </c>
      <c r="W137" s="2"/>
      <c r="X137" s="2">
        <f t="shared" si="16"/>
        <v>0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"5527", " - ", "FREIGHT-IN-SCHOOL SUPPLIES")</f>
        <v xml:space="preserve">          5527 - FREIGHT-IN-SCHOOL SUPPLIES</v>
      </c>
      <c r="C138" s="11"/>
      <c r="D138" s="2">
        <v>41.12</v>
      </c>
      <c r="E138" s="2"/>
      <c r="F138" s="19">
        <f t="shared" si="10"/>
        <v>5.0530452394642688E-5</v>
      </c>
      <c r="G138" s="2"/>
      <c r="H138" s="2"/>
      <c r="I138" s="2"/>
      <c r="J138" s="19">
        <f t="shared" si="11"/>
        <v>0</v>
      </c>
      <c r="K138" s="2"/>
      <c r="L138" s="2">
        <f t="shared" si="12"/>
        <v>41.12</v>
      </c>
      <c r="M138" s="2"/>
      <c r="N138" s="19">
        <f t="shared" si="13"/>
        <v>0</v>
      </c>
      <c r="O138" s="11"/>
      <c r="P138" s="2">
        <v>218.62</v>
      </c>
      <c r="Q138" s="2"/>
      <c r="R138" s="19">
        <f t="shared" si="14"/>
        <v>2.7447056978581209E-5</v>
      </c>
      <c r="S138" s="2"/>
      <c r="T138" s="2"/>
      <c r="U138" s="2"/>
      <c r="V138" s="19">
        <f t="shared" si="15"/>
        <v>0</v>
      </c>
      <c r="W138" s="2"/>
      <c r="X138" s="2">
        <f t="shared" si="16"/>
        <v>218.62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"5528", " - ", "FREIGHT-IN-ART/TECH")</f>
        <v xml:space="preserve">          5528 - FREIGHT-IN-ART/TECH</v>
      </c>
      <c r="C139" s="11"/>
      <c r="D139" s="2">
        <v>103.71</v>
      </c>
      <c r="E139" s="2"/>
      <c r="F139" s="19">
        <f t="shared" si="10"/>
        <v>1.2744438759358933E-4</v>
      </c>
      <c r="G139" s="2"/>
      <c r="H139" s="2"/>
      <c r="I139" s="2"/>
      <c r="J139" s="19">
        <f t="shared" si="11"/>
        <v>0</v>
      </c>
      <c r="K139" s="2"/>
      <c r="L139" s="2">
        <f t="shared" si="12"/>
        <v>103.71</v>
      </c>
      <c r="M139" s="2"/>
      <c r="N139" s="19">
        <f t="shared" si="13"/>
        <v>0</v>
      </c>
      <c r="O139" s="11"/>
      <c r="P139" s="2">
        <v>455.21</v>
      </c>
      <c r="Q139" s="2"/>
      <c r="R139" s="19">
        <f t="shared" si="14"/>
        <v>5.7150191232366443E-5</v>
      </c>
      <c r="S139" s="2"/>
      <c r="T139" s="2"/>
      <c r="U139" s="2"/>
      <c r="V139" s="19">
        <f t="shared" si="15"/>
        <v>0</v>
      </c>
      <c r="W139" s="2"/>
      <c r="X139" s="2">
        <f t="shared" si="16"/>
        <v>455.21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"5540", " - ", "FREIGHT-IN-LOGO CLOTHING")</f>
        <v xml:space="preserve">          5540 - FREIGHT-IN-LOGO CLOTHING</v>
      </c>
      <c r="C140" s="11"/>
      <c r="D140" s="2">
        <v>1167.1400000000001</v>
      </c>
      <c r="E140" s="2"/>
      <c r="F140" s="19">
        <f t="shared" si="10"/>
        <v>1.4342439739271223E-3</v>
      </c>
      <c r="G140" s="2"/>
      <c r="H140" s="2"/>
      <c r="I140" s="2"/>
      <c r="J140" s="19">
        <f t="shared" si="11"/>
        <v>0</v>
      </c>
      <c r="K140" s="2"/>
      <c r="L140" s="2">
        <f t="shared" si="12"/>
        <v>1167.1400000000001</v>
      </c>
      <c r="M140" s="2"/>
      <c r="N140" s="19">
        <f t="shared" si="13"/>
        <v>0</v>
      </c>
      <c r="O140" s="11"/>
      <c r="P140" s="2">
        <v>7108.37</v>
      </c>
      <c r="Q140" s="2"/>
      <c r="R140" s="19">
        <f t="shared" si="14"/>
        <v>8.924336127291067E-4</v>
      </c>
      <c r="S140" s="2"/>
      <c r="T140" s="2"/>
      <c r="U140" s="2"/>
      <c r="V140" s="19">
        <f t="shared" si="15"/>
        <v>0</v>
      </c>
      <c r="W140" s="2"/>
      <c r="X140" s="2">
        <f t="shared" si="16"/>
        <v>7108.37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"5541", " - ", "FREIGHT-IN-LOGO GIFTS")</f>
        <v xml:space="preserve">          5541 - FREIGHT-IN-LOGO GIFTS</v>
      </c>
      <c r="C141" s="11"/>
      <c r="D141" s="2">
        <v>60.07</v>
      </c>
      <c r="E141" s="2"/>
      <c r="F141" s="19">
        <f t="shared" si="10"/>
        <v>7.3817224594994798E-5</v>
      </c>
      <c r="G141" s="2"/>
      <c r="H141" s="2"/>
      <c r="I141" s="2"/>
      <c r="J141" s="19">
        <f t="shared" si="11"/>
        <v>0</v>
      </c>
      <c r="K141" s="2"/>
      <c r="L141" s="2">
        <f t="shared" si="12"/>
        <v>60.07</v>
      </c>
      <c r="M141" s="2"/>
      <c r="N141" s="19">
        <f t="shared" si="13"/>
        <v>0</v>
      </c>
      <c r="O141" s="11"/>
      <c r="P141" s="2">
        <v>2138</v>
      </c>
      <c r="Q141" s="2"/>
      <c r="R141" s="19">
        <f t="shared" si="14"/>
        <v>2.6841921059466941E-4</v>
      </c>
      <c r="S141" s="2"/>
      <c r="T141" s="2"/>
      <c r="U141" s="2"/>
      <c r="V141" s="19">
        <f t="shared" si="15"/>
        <v>0</v>
      </c>
      <c r="W141" s="2"/>
      <c r="X141" s="2">
        <f t="shared" si="16"/>
        <v>2138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"5542", " - ", "FREIGHT-IN-EVERYDAY GIFTS")</f>
        <v xml:space="preserve">          5542 - FREIGHT-IN-EVERYDAY GIFTS</v>
      </c>
      <c r="C142" s="11"/>
      <c r="D142" s="2">
        <v>297.79000000000002</v>
      </c>
      <c r="E142" s="2"/>
      <c r="F142" s="19">
        <f t="shared" si="10"/>
        <v>3.6594025823445155E-4</v>
      </c>
      <c r="G142" s="2"/>
      <c r="H142" s="2"/>
      <c r="I142" s="2"/>
      <c r="J142" s="19">
        <f t="shared" si="11"/>
        <v>0</v>
      </c>
      <c r="K142" s="2"/>
      <c r="L142" s="2">
        <f t="shared" si="12"/>
        <v>297.79000000000002</v>
      </c>
      <c r="M142" s="2"/>
      <c r="N142" s="19">
        <f t="shared" si="13"/>
        <v>0</v>
      </c>
      <c r="O142" s="11"/>
      <c r="P142" s="2">
        <v>681.72</v>
      </c>
      <c r="Q142" s="2"/>
      <c r="R142" s="19">
        <f t="shared" si="14"/>
        <v>8.5587813024601519E-5</v>
      </c>
      <c r="S142" s="2"/>
      <c r="T142" s="2"/>
      <c r="U142" s="2"/>
      <c r="V142" s="19">
        <f t="shared" si="15"/>
        <v>0</v>
      </c>
      <c r="W142" s="2"/>
      <c r="X142" s="2">
        <f t="shared" si="16"/>
        <v>681.72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"5543", " - ", "FREIGHT-IN-CARDS")</f>
        <v xml:space="preserve">          5543 - FREIGHT-IN-CARDS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9110.5300000000007</v>
      </c>
      <c r="Q143" s="2"/>
      <c r="R143" s="19">
        <f t="shared" si="14"/>
        <v>1.1437985363419334E-3</v>
      </c>
      <c r="S143" s="2"/>
      <c r="T143" s="2"/>
      <c r="U143" s="2"/>
      <c r="V143" s="19">
        <f t="shared" si="15"/>
        <v>0</v>
      </c>
      <c r="W143" s="2"/>
      <c r="X143" s="2">
        <f t="shared" si="16"/>
        <v>9110.5300000000007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"5545", " - ", "FREIGHT-IN-SPECIAL ORDERS")</f>
        <v xml:space="preserve">          5545 - FREIGHT-IN-SPECIAL ORDERS</v>
      </c>
      <c r="C144" s="11"/>
      <c r="D144" s="2">
        <v>17.63</v>
      </c>
      <c r="E144" s="2"/>
      <c r="F144" s="19">
        <f t="shared" si="10"/>
        <v>2.1664685693520198E-5</v>
      </c>
      <c r="G144" s="2"/>
      <c r="H144" s="2"/>
      <c r="I144" s="2"/>
      <c r="J144" s="19">
        <f t="shared" si="11"/>
        <v>0</v>
      </c>
      <c r="K144" s="2"/>
      <c r="L144" s="2">
        <f t="shared" si="12"/>
        <v>17.63</v>
      </c>
      <c r="M144" s="2"/>
      <c r="N144" s="19">
        <f t="shared" si="13"/>
        <v>0</v>
      </c>
      <c r="O144" s="11"/>
      <c r="P144" s="2">
        <v>1266.1600000000001</v>
      </c>
      <c r="Q144" s="2"/>
      <c r="R144" s="19">
        <f t="shared" si="14"/>
        <v>1.589624264202744E-4</v>
      </c>
      <c r="S144" s="2"/>
      <c r="T144" s="2"/>
      <c r="U144" s="2"/>
      <c r="V144" s="19">
        <f t="shared" si="15"/>
        <v>0</v>
      </c>
      <c r="W144" s="2"/>
      <c r="X144" s="2">
        <f t="shared" si="16"/>
        <v>1266.1600000000001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"5581", " - ", "FREIGHT-IN-ELECTRONICS")</f>
        <v xml:space="preserve">          5581 - FREIGHT-IN-ELECTRONICS</v>
      </c>
      <c r="C145" s="11"/>
      <c r="D145" s="2"/>
      <c r="E145" s="2"/>
      <c r="F145" s="19">
        <f t="shared" si="10"/>
        <v>0</v>
      </c>
      <c r="G145" s="2"/>
      <c r="H145" s="2"/>
      <c r="I145" s="2"/>
      <c r="J145" s="19">
        <f t="shared" si="11"/>
        <v>0</v>
      </c>
      <c r="K145" s="2"/>
      <c r="L145" s="2">
        <f t="shared" si="12"/>
        <v>0</v>
      </c>
      <c r="M145" s="2"/>
      <c r="N145" s="19">
        <f t="shared" si="13"/>
        <v>0</v>
      </c>
      <c r="O145" s="11"/>
      <c r="P145" s="2">
        <v>31</v>
      </c>
      <c r="Q145" s="2"/>
      <c r="R145" s="19">
        <f t="shared" si="14"/>
        <v>3.8919530067515208E-6</v>
      </c>
      <c r="S145" s="2"/>
      <c r="T145" s="2"/>
      <c r="U145" s="2"/>
      <c r="V145" s="19">
        <f t="shared" si="15"/>
        <v>0</v>
      </c>
      <c r="W145" s="2"/>
      <c r="X145" s="2">
        <f t="shared" si="16"/>
        <v>31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"5582", " - ", "FREIGHT-IN-COMPUTER HARDWARE")</f>
        <v xml:space="preserve">          5582 - FREIGHT-IN-COMPUTER HARDWARE</v>
      </c>
      <c r="C146" s="11"/>
      <c r="D146" s="2"/>
      <c r="E146" s="2"/>
      <c r="F146" s="19">
        <f t="shared" si="10"/>
        <v>0</v>
      </c>
      <c r="G146" s="2"/>
      <c r="H146" s="2"/>
      <c r="I146" s="2"/>
      <c r="J146" s="19">
        <f t="shared" si="11"/>
        <v>0</v>
      </c>
      <c r="K146" s="2"/>
      <c r="L146" s="2">
        <f t="shared" si="12"/>
        <v>0</v>
      </c>
      <c r="M146" s="2"/>
      <c r="N146" s="19">
        <f t="shared" si="13"/>
        <v>0</v>
      </c>
      <c r="O146" s="11"/>
      <c r="P146" s="2">
        <v>125</v>
      </c>
      <c r="Q146" s="2"/>
      <c r="R146" s="19">
        <f t="shared" si="14"/>
        <v>1.5693358898191616E-5</v>
      </c>
      <c r="S146" s="2"/>
      <c r="T146" s="2"/>
      <c r="U146" s="2"/>
      <c r="V146" s="19">
        <f t="shared" si="15"/>
        <v>0</v>
      </c>
      <c r="W146" s="2"/>
      <c r="X146" s="2">
        <f t="shared" si="16"/>
        <v>125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"5583", " - ", "FREIGHT-IN-COMPUTER EQUIPMENT")</f>
        <v xml:space="preserve">          5583 - FREIGHT-IN-COMPUTER EQUIPMENT</v>
      </c>
      <c r="C147" s="11"/>
      <c r="D147" s="2"/>
      <c r="E147" s="2"/>
      <c r="F147" s="19">
        <f t="shared" si="10"/>
        <v>0</v>
      </c>
      <c r="G147" s="2"/>
      <c r="H147" s="2"/>
      <c r="I147" s="2"/>
      <c r="J147" s="19">
        <f t="shared" si="11"/>
        <v>0</v>
      </c>
      <c r="K147" s="2"/>
      <c r="L147" s="2">
        <f t="shared" si="12"/>
        <v>0</v>
      </c>
      <c r="M147" s="2"/>
      <c r="N147" s="19">
        <f t="shared" si="13"/>
        <v>0</v>
      </c>
      <c r="O147" s="11"/>
      <c r="P147" s="2">
        <v>242.46</v>
      </c>
      <c r="Q147" s="2"/>
      <c r="R147" s="19">
        <f t="shared" si="14"/>
        <v>3.0440094387644317E-5</v>
      </c>
      <c r="S147" s="2"/>
      <c r="T147" s="2"/>
      <c r="U147" s="2"/>
      <c r="V147" s="19">
        <f t="shared" si="15"/>
        <v>0</v>
      </c>
      <c r="W147" s="2"/>
      <c r="X147" s="2">
        <f t="shared" si="16"/>
        <v>242.46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"5585", " - ", "FREIGHT-IN-SOFTWARE")</f>
        <v xml:space="preserve">          5585 - FREIGHT-IN-SOFTWARE</v>
      </c>
      <c r="C148" s="11"/>
      <c r="D148" s="2">
        <v>9.41</v>
      </c>
      <c r="E148" s="2"/>
      <c r="F148" s="19">
        <f t="shared" si="10"/>
        <v>1.1563510628248727E-5</v>
      </c>
      <c r="G148" s="2"/>
      <c r="H148" s="2"/>
      <c r="I148" s="2"/>
      <c r="J148" s="19">
        <f t="shared" si="11"/>
        <v>0</v>
      </c>
      <c r="K148" s="2"/>
      <c r="L148" s="2">
        <f t="shared" si="12"/>
        <v>9.41</v>
      </c>
      <c r="M148" s="2"/>
      <c r="N148" s="19">
        <f t="shared" si="13"/>
        <v>0</v>
      </c>
      <c r="O148" s="11"/>
      <c r="P148" s="2">
        <v>9.41</v>
      </c>
      <c r="Q148" s="2"/>
      <c r="R148" s="19">
        <f t="shared" si="14"/>
        <v>1.181396057855865E-6</v>
      </c>
      <c r="S148" s="2"/>
      <c r="T148" s="2"/>
      <c r="U148" s="2"/>
      <c r="V148" s="19">
        <f t="shared" si="15"/>
        <v>0</v>
      </c>
      <c r="W148" s="2"/>
      <c r="X148" s="2">
        <f t="shared" si="16"/>
        <v>9.41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"5586", " - ", "FREIGHT-IN-COMPUTER SUPPLIES")</f>
        <v xml:space="preserve">          5586 - FREIGHT-IN-COMPUTER SUPPLIES</v>
      </c>
      <c r="C149" s="11"/>
      <c r="D149" s="2"/>
      <c r="E149" s="2"/>
      <c r="F149" s="19">
        <f t="shared" si="10"/>
        <v>0</v>
      </c>
      <c r="G149" s="2"/>
      <c r="H149" s="2"/>
      <c r="I149" s="2"/>
      <c r="J149" s="19">
        <f t="shared" si="11"/>
        <v>0</v>
      </c>
      <c r="K149" s="2"/>
      <c r="L149" s="2">
        <f t="shared" si="12"/>
        <v>0</v>
      </c>
      <c r="M149" s="2"/>
      <c r="N149" s="19">
        <f t="shared" si="13"/>
        <v>0</v>
      </c>
      <c r="O149" s="11"/>
      <c r="P149" s="2">
        <v>24.12</v>
      </c>
      <c r="Q149" s="2"/>
      <c r="R149" s="19">
        <f t="shared" si="14"/>
        <v>3.0281905329950545E-6</v>
      </c>
      <c r="S149" s="2"/>
      <c r="T149" s="2"/>
      <c r="U149" s="2"/>
      <c r="V149" s="19">
        <f t="shared" si="15"/>
        <v>0</v>
      </c>
      <c r="W149" s="2"/>
      <c r="X149" s="2">
        <f t="shared" si="16"/>
        <v>24.12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"5592", " - ", "FREIGHT-IN-GRAD MERCH")</f>
        <v xml:space="preserve">          5592 - FREIGHT-IN-GRAD MERCH</v>
      </c>
      <c r="C150" s="11"/>
      <c r="D150" s="2"/>
      <c r="E150" s="2"/>
      <c r="F150" s="19">
        <f t="shared" si="10"/>
        <v>0</v>
      </c>
      <c r="G150" s="2"/>
      <c r="H150" s="2"/>
      <c r="I150" s="2"/>
      <c r="J150" s="19">
        <f t="shared" si="11"/>
        <v>0</v>
      </c>
      <c r="K150" s="2"/>
      <c r="L150" s="2">
        <f t="shared" si="12"/>
        <v>0</v>
      </c>
      <c r="M150" s="2"/>
      <c r="N150" s="19">
        <f t="shared" si="13"/>
        <v>0</v>
      </c>
      <c r="O150" s="11"/>
      <c r="P150" s="2">
        <v>0</v>
      </c>
      <c r="Q150" s="2"/>
      <c r="R150" s="19">
        <f t="shared" si="14"/>
        <v>0</v>
      </c>
      <c r="S150" s="2"/>
      <c r="T150" s="2"/>
      <c r="U150" s="2"/>
      <c r="V150" s="19">
        <f t="shared" si="15"/>
        <v>0</v>
      </c>
      <c r="W150" s="2"/>
      <c r="X150" s="2">
        <f t="shared" si="16"/>
        <v>0</v>
      </c>
      <c r="Y150" s="2"/>
      <c r="Z150" s="19">
        <f t="shared" si="17"/>
        <v>0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10"/>
      <c r="B152" s="29" t="s">
        <v>108</v>
      </c>
      <c r="C152" s="29"/>
      <c r="D152" s="20">
        <f>D12-D100</f>
        <v>321412.7099999999</v>
      </c>
      <c r="E152" s="14"/>
      <c r="F152" s="21">
        <f>IF(D$12=0,0,D152/D$12)</f>
        <v>0.39496910607218122</v>
      </c>
      <c r="G152" s="14"/>
      <c r="H152" s="20">
        <f>H12-H100</f>
        <v>730168</v>
      </c>
      <c r="I152" s="14"/>
      <c r="J152" s="21">
        <f>IF(H$12=0,0,H152/H$12)</f>
        <v>0.61507721233645241</v>
      </c>
      <c r="K152" s="16"/>
      <c r="L152" s="20">
        <f>+D152-H152</f>
        <v>-408755.2900000001</v>
      </c>
      <c r="M152" s="16"/>
      <c r="N152" s="21">
        <f>IF(H152=0,0,L152/H152)</f>
        <v>-0.55980992045666211</v>
      </c>
      <c r="O152" s="28"/>
      <c r="P152" s="20">
        <f>P12-P100</f>
        <v>2972808.4200000009</v>
      </c>
      <c r="Q152" s="14"/>
      <c r="R152" s="21">
        <f>IF(P$12=0,0,P152/P$12)</f>
        <v>0.37322679576500778</v>
      </c>
      <c r="S152" s="14"/>
      <c r="T152" s="20">
        <f>T12-T100</f>
        <v>6696773</v>
      </c>
      <c r="U152" s="14"/>
      <c r="V152" s="21">
        <f>IF(T$12=0,0,T152/T$12)</f>
        <v>0.48400657120637869</v>
      </c>
      <c r="W152" s="16"/>
      <c r="X152" s="20">
        <f>+P152-T152</f>
        <v>-3723964.5799999991</v>
      </c>
      <c r="Y152" s="16"/>
      <c r="Z152" s="21">
        <f>IF(T152=0,0,X152/T152)</f>
        <v>-0.55608344198018944</v>
      </c>
    </row>
    <row r="153" spans="1:26" x14ac:dyDescent="0.25">
      <c r="A153" s="9"/>
      <c r="B153" s="10"/>
      <c r="C153" s="9"/>
      <c r="D153" s="1"/>
      <c r="E153" s="1"/>
      <c r="F153" s="5"/>
      <c r="G153" s="1"/>
      <c r="H153" s="1"/>
      <c r="I153" s="1"/>
      <c r="J153" s="5"/>
      <c r="K153" s="1"/>
      <c r="L153" s="1"/>
      <c r="M153" s="1"/>
      <c r="N153" s="5"/>
      <c r="O153" s="36"/>
      <c r="P153" s="1"/>
      <c r="Q153" s="1"/>
      <c r="R153" s="5"/>
      <c r="S153" s="1"/>
      <c r="T153" s="1"/>
      <c r="U153" s="1"/>
      <c r="V153" s="5"/>
      <c r="W153" s="1"/>
      <c r="X153" s="1"/>
      <c r="Y153" s="1"/>
      <c r="Z153" s="5"/>
    </row>
    <row r="154" spans="1:26" s="23" customFormat="1" x14ac:dyDescent="0.25">
      <c r="A154" s="10"/>
      <c r="B154" s="28" t="s">
        <v>295</v>
      </c>
      <c r="C154" s="10"/>
      <c r="D154" s="22">
        <f>SUM(OSRRefD22x_0)</f>
        <v>620951.03999999969</v>
      </c>
      <c r="E154" s="22"/>
      <c r="F154" s="32">
        <f t="shared" ref="F154:F165" si="18">IF(D$12=0,0,D154/D$12)</f>
        <v>0.76305780559639713</v>
      </c>
      <c r="G154" s="22"/>
      <c r="H154" s="22">
        <f>SUM(OSRRefH22x_0)</f>
        <v>916858.26442024612</v>
      </c>
      <c r="I154" s="22"/>
      <c r="J154" s="32">
        <f t="shared" ref="J154:J165" si="19">IF(H$12=0,0,H154/H$12)</f>
        <v>0.77234092070214377</v>
      </c>
      <c r="K154" s="4"/>
      <c r="L154" s="22">
        <f t="shared" ref="L154:L165" si="20">+D154-H154</f>
        <v>-295907.22442024644</v>
      </c>
      <c r="M154" s="4"/>
      <c r="N154" s="32">
        <f t="shared" ref="N154:N165" si="21">IF(H154=0,0,L154/H154)</f>
        <v>-0.32274042336015418</v>
      </c>
      <c r="O154" s="10"/>
      <c r="P154" s="22">
        <f>SUM(OSRRefP22x_0)</f>
        <v>6106232.3500000006</v>
      </c>
      <c r="Q154" s="22"/>
      <c r="R154" s="32">
        <f t="shared" ref="R154:R165" si="22">IF(P$12=0,0,P154/P$12)</f>
        <v>0.76661836627438418</v>
      </c>
      <c r="S154" s="22"/>
      <c r="T154" s="22">
        <f>SUM(OSRRefT22x_0)</f>
        <v>8738958.9545949437</v>
      </c>
      <c r="U154" s="22"/>
      <c r="V154" s="32">
        <f t="shared" ref="V154:V165" si="23">IF(T$12=0,0,T154/T$12)</f>
        <v>0.63160473851014187</v>
      </c>
      <c r="W154" s="4"/>
      <c r="X154" s="22">
        <f t="shared" ref="X154:X165" si="24">+P154-T154</f>
        <v>-2632726.6045949431</v>
      </c>
      <c r="Y154" s="4"/>
      <c r="Z154" s="32">
        <f t="shared" ref="Z154:Z165" si="25">IF(T154=0,0,X154/T154)</f>
        <v>-0.30126318458226148</v>
      </c>
    </row>
    <row r="155" spans="1:26" s="25" customFormat="1" outlineLevel="1" collapsed="1" x14ac:dyDescent="0.25">
      <c r="A155" s="27"/>
      <c r="B155" s="13" t="str">
        <f>CONCATENATE("     ","*Benefits                                         ")</f>
        <v xml:space="preserve">     *Benefits                                         </v>
      </c>
      <c r="C155" s="13"/>
      <c r="D155" s="1">
        <f>SUM(OSRRefD22_0x_0)</f>
        <v>147159.49</v>
      </c>
      <c r="E155" s="1"/>
      <c r="F155" s="5">
        <f t="shared" si="18"/>
        <v>0.18083744172823191</v>
      </c>
      <c r="G155" s="1"/>
      <c r="H155" s="1">
        <f>SUM(OSRRefH22_0x_0)</f>
        <v>167875.54497821999</v>
      </c>
      <c r="I155" s="1"/>
      <c r="J155" s="5">
        <f t="shared" si="19"/>
        <v>0.14141460900048519</v>
      </c>
      <c r="K155" s="1"/>
      <c r="L155" s="1">
        <f t="shared" si="20"/>
        <v>-20716.054978219996</v>
      </c>
      <c r="M155" s="1"/>
      <c r="N155" s="5">
        <f t="shared" si="21"/>
        <v>-0.12340126717627441</v>
      </c>
      <c r="O155" s="13"/>
      <c r="P155" s="1">
        <f>SUM(OSRRefP22_0x_0)</f>
        <v>1387220.61</v>
      </c>
      <c r="Q155" s="1"/>
      <c r="R155" s="5">
        <f t="shared" si="22"/>
        <v>0.17416120722958645</v>
      </c>
      <c r="S155" s="1"/>
      <c r="T155" s="1">
        <f>SUM(OSRRefT22_0x_0)</f>
        <v>1593650.2489189443</v>
      </c>
      <c r="U155" s="1"/>
      <c r="V155" s="5">
        <f t="shared" si="23"/>
        <v>0.1151804298400812</v>
      </c>
      <c r="W155" s="1"/>
      <c r="X155" s="1">
        <f t="shared" si="24"/>
        <v>-206429.63891894417</v>
      </c>
      <c r="Y155" s="1"/>
      <c r="Z155" s="5">
        <f t="shared" si="25"/>
        <v>-0.12953258662556361</v>
      </c>
    </row>
    <row r="156" spans="1:26" s="24" customFormat="1" hidden="1" outlineLevel="2" x14ac:dyDescent="0.25">
      <c r="A156" s="26"/>
      <c r="B156" s="11" t="str">
        <f>CONCATENATE("          ", "6111", " - ", "F.I.C.A.")</f>
        <v xml:space="preserve">          6111 - F.I.C.A.</v>
      </c>
      <c r="C156" s="11"/>
      <c r="D156" s="7">
        <v>18662.14</v>
      </c>
      <c r="E156" s="2"/>
      <c r="F156" s="6">
        <f t="shared" si="18"/>
        <v>2.2933034456521329E-2</v>
      </c>
      <c r="G156" s="2"/>
      <c r="H156" s="7">
        <v>20288.077580266101</v>
      </c>
      <c r="I156" s="2"/>
      <c r="J156" s="6">
        <f t="shared" si="19"/>
        <v>1.7090223348237326E-2</v>
      </c>
      <c r="K156" s="2"/>
      <c r="L156" s="7">
        <f t="shared" si="20"/>
        <v>-1625.9375802661016</v>
      </c>
      <c r="M156" s="2"/>
      <c r="N156" s="6">
        <f t="shared" si="21"/>
        <v>-8.0142515910311088E-2</v>
      </c>
      <c r="O156" s="11"/>
      <c r="P156" s="7">
        <v>189428.97</v>
      </c>
      <c r="Q156" s="2"/>
      <c r="R156" s="6">
        <f t="shared" si="22"/>
        <v>2.3782214495398184E-2</v>
      </c>
      <c r="S156" s="2"/>
      <c r="T156" s="7">
        <v>208602.43380748501</v>
      </c>
      <c r="U156" s="2"/>
      <c r="V156" s="6">
        <f t="shared" si="23"/>
        <v>1.5076656881227181E-2</v>
      </c>
      <c r="W156" s="2"/>
      <c r="X156" s="7">
        <f t="shared" si="24"/>
        <v>-19173.463807485008</v>
      </c>
      <c r="Y156" s="2"/>
      <c r="Z156" s="6">
        <f t="shared" si="25"/>
        <v>-9.1913902716877272E-2</v>
      </c>
    </row>
    <row r="157" spans="1:26" s="24" customFormat="1" hidden="1" outlineLevel="2" x14ac:dyDescent="0.25">
      <c r="A157" s="26"/>
      <c r="B157" s="11" t="str">
        <f>CONCATENATE("          ", "6112", " - ", "COMPENSATION INSURANCE")</f>
        <v xml:space="preserve">          6112 - COMPENSATION INSURANCE</v>
      </c>
      <c r="C157" s="11"/>
      <c r="D157" s="7">
        <v>7198.59</v>
      </c>
      <c r="E157" s="2"/>
      <c r="F157" s="6">
        <f t="shared" si="18"/>
        <v>8.8460118994054208E-3</v>
      </c>
      <c r="G157" s="2"/>
      <c r="H157" s="7">
        <v>12384.1838593385</v>
      </c>
      <c r="I157" s="2"/>
      <c r="J157" s="6">
        <f t="shared" si="19"/>
        <v>1.0432159838919279E-2</v>
      </c>
      <c r="K157" s="2"/>
      <c r="L157" s="7">
        <f t="shared" si="20"/>
        <v>-5185.5938593384999</v>
      </c>
      <c r="M157" s="2"/>
      <c r="N157" s="6">
        <f t="shared" si="21"/>
        <v>-0.41872713763274894</v>
      </c>
      <c r="O157" s="11"/>
      <c r="P157" s="7">
        <v>73686.33</v>
      </c>
      <c r="Q157" s="2"/>
      <c r="R157" s="6">
        <f t="shared" si="22"/>
        <v>9.2510881806446722E-3</v>
      </c>
      <c r="S157" s="2"/>
      <c r="T157" s="7">
        <v>112075.014619725</v>
      </c>
      <c r="U157" s="2"/>
      <c r="V157" s="6">
        <f t="shared" si="23"/>
        <v>8.1001765393567699E-3</v>
      </c>
      <c r="W157" s="2"/>
      <c r="X157" s="7">
        <f t="shared" si="24"/>
        <v>-38388.684619724998</v>
      </c>
      <c r="Y157" s="2"/>
      <c r="Z157" s="6">
        <f t="shared" si="25"/>
        <v>-0.34252669740868952</v>
      </c>
    </row>
    <row r="158" spans="1:26" s="24" customFormat="1" hidden="1" outlineLevel="2" x14ac:dyDescent="0.25">
      <c r="A158" s="26"/>
      <c r="B158" s="11" t="str">
        <f>CONCATENATE("          ", "6113", " - ", "GROUP INSURANCE")</f>
        <v xml:space="preserve">          6113 - GROUP INSURANCE</v>
      </c>
      <c r="C158" s="11"/>
      <c r="D158" s="7">
        <v>74510.69</v>
      </c>
      <c r="E158" s="2"/>
      <c r="F158" s="6">
        <f t="shared" si="18"/>
        <v>9.1562715805860381E-2</v>
      </c>
      <c r="G158" s="2"/>
      <c r="H158" s="7">
        <v>90074.230769230795</v>
      </c>
      <c r="I158" s="2"/>
      <c r="J158" s="6">
        <f t="shared" si="19"/>
        <v>7.5876519876095339E-2</v>
      </c>
      <c r="K158" s="2"/>
      <c r="L158" s="7">
        <f t="shared" si="20"/>
        <v>-15563.540769230793</v>
      </c>
      <c r="M158" s="2"/>
      <c r="N158" s="6">
        <f t="shared" si="21"/>
        <v>-0.17278571947069318</v>
      </c>
      <c r="O158" s="11"/>
      <c r="P158" s="7">
        <v>675486.52</v>
      </c>
      <c r="Q158" s="2"/>
      <c r="R158" s="6">
        <f t="shared" si="22"/>
        <v>8.4805219114003919E-2</v>
      </c>
      <c r="S158" s="2"/>
      <c r="T158" s="7">
        <v>845177.38461538404</v>
      </c>
      <c r="U158" s="2"/>
      <c r="V158" s="6">
        <f t="shared" si="23"/>
        <v>6.1084855047179705E-2</v>
      </c>
      <c r="W158" s="2"/>
      <c r="X158" s="7">
        <f t="shared" si="24"/>
        <v>-169690.86461538402</v>
      </c>
      <c r="Y158" s="2"/>
      <c r="Z158" s="6">
        <f t="shared" si="25"/>
        <v>-0.20077544395323055</v>
      </c>
    </row>
    <row r="159" spans="1:26" s="24" customFormat="1" hidden="1" outlineLevel="2" x14ac:dyDescent="0.25">
      <c r="A159" s="26"/>
      <c r="B159" s="11" t="str">
        <f>CONCATENATE("          ", "6114", " - ", "STATE UNEMPLOYMENT INSURANCE")</f>
        <v xml:space="preserve">          6114 - STATE UNEMPLOYMENT INSURANCE</v>
      </c>
      <c r="C159" s="11"/>
      <c r="D159" s="7">
        <v>723.36</v>
      </c>
      <c r="E159" s="2"/>
      <c r="F159" s="6">
        <f t="shared" si="18"/>
        <v>8.8890340574388947E-4</v>
      </c>
      <c r="G159" s="2"/>
      <c r="H159" s="7">
        <v>1092.6723959999999</v>
      </c>
      <c r="I159" s="2"/>
      <c r="J159" s="6">
        <f t="shared" si="19"/>
        <v>9.2044281771958252E-4</v>
      </c>
      <c r="K159" s="2"/>
      <c r="L159" s="7">
        <f t="shared" si="20"/>
        <v>-369.31239599999992</v>
      </c>
      <c r="M159" s="2"/>
      <c r="N159" s="6">
        <f t="shared" si="21"/>
        <v>-0.33799004839141183</v>
      </c>
      <c r="O159" s="11"/>
      <c r="P159" s="7">
        <v>7529.95</v>
      </c>
      <c r="Q159" s="2"/>
      <c r="R159" s="6">
        <f t="shared" si="22"/>
        <v>9.453616626835037E-4</v>
      </c>
      <c r="S159" s="2"/>
      <c r="T159" s="7">
        <v>10154.81336285</v>
      </c>
      <c r="U159" s="2"/>
      <c r="V159" s="6">
        <f t="shared" si="23"/>
        <v>7.339350455799747E-4</v>
      </c>
      <c r="W159" s="2"/>
      <c r="X159" s="7">
        <f t="shared" si="24"/>
        <v>-2624.8633628500002</v>
      </c>
      <c r="Y159" s="2"/>
      <c r="Z159" s="6">
        <f t="shared" si="25"/>
        <v>-0.25848464851680136</v>
      </c>
    </row>
    <row r="160" spans="1:26" s="24" customFormat="1" hidden="1" outlineLevel="2" x14ac:dyDescent="0.25">
      <c r="A160" s="26"/>
      <c r="B160" s="11" t="str">
        <f>CONCATENATE("          ", "6115", " - ", "P.E.R.S.")</f>
        <v xml:space="preserve">          6115 - P.E.R.S.</v>
      </c>
      <c r="C160" s="11"/>
      <c r="D160" s="7">
        <v>13550.15</v>
      </c>
      <c r="E160" s="2"/>
      <c r="F160" s="6">
        <f t="shared" si="18"/>
        <v>1.6651148091324602E-2</v>
      </c>
      <c r="G160" s="2"/>
      <c r="H160" s="7">
        <v>12350.504878769199</v>
      </c>
      <c r="I160" s="2"/>
      <c r="J160" s="6">
        <f t="shared" si="19"/>
        <v>1.0403789418025871E-2</v>
      </c>
      <c r="K160" s="2"/>
      <c r="L160" s="7">
        <f t="shared" si="20"/>
        <v>1199.6451212308002</v>
      </c>
      <c r="M160" s="2"/>
      <c r="N160" s="6">
        <f t="shared" si="21"/>
        <v>9.7133285886394624E-2</v>
      </c>
      <c r="O160" s="11"/>
      <c r="P160" s="7">
        <v>142377.24</v>
      </c>
      <c r="Q160" s="2"/>
      <c r="R160" s="6">
        <f t="shared" si="22"/>
        <v>1.7875017010031705E-2</v>
      </c>
      <c r="S160" s="2"/>
      <c r="T160" s="7">
        <v>120171.13387600001</v>
      </c>
      <c r="U160" s="2"/>
      <c r="V160" s="6">
        <f t="shared" si="23"/>
        <v>8.6853202975978819E-3</v>
      </c>
      <c r="W160" s="2"/>
      <c r="X160" s="7">
        <f t="shared" si="24"/>
        <v>22206.106123999984</v>
      </c>
      <c r="Y160" s="2"/>
      <c r="Z160" s="6">
        <f t="shared" si="25"/>
        <v>0.18478735622910586</v>
      </c>
    </row>
    <row r="161" spans="1:26" s="24" customFormat="1" hidden="1" outlineLevel="2" x14ac:dyDescent="0.25">
      <c r="A161" s="26"/>
      <c r="B161" s="11" t="str">
        <f>CONCATENATE("          ", "6116", " - ", "EDUCATIONAL BENEFITS")</f>
        <v xml:space="preserve">          6116 - EDUCATIONAL BENEFITS</v>
      </c>
      <c r="C161" s="11"/>
      <c r="D161" s="7"/>
      <c r="E161" s="2"/>
      <c r="F161" s="6">
        <f t="shared" si="18"/>
        <v>0</v>
      </c>
      <c r="G161" s="2"/>
      <c r="H161" s="7">
        <v>0</v>
      </c>
      <c r="I161" s="2"/>
      <c r="J161" s="6">
        <f t="shared" si="19"/>
        <v>0</v>
      </c>
      <c r="K161" s="2"/>
      <c r="L161" s="7">
        <f t="shared" si="20"/>
        <v>0</v>
      </c>
      <c r="M161" s="2"/>
      <c r="N161" s="6">
        <f t="shared" si="21"/>
        <v>0</v>
      </c>
      <c r="O161" s="11"/>
      <c r="P161" s="7">
        <v>0</v>
      </c>
      <c r="Q161" s="2"/>
      <c r="R161" s="6">
        <f t="shared" si="22"/>
        <v>0</v>
      </c>
      <c r="S161" s="2"/>
      <c r="T161" s="7">
        <v>0</v>
      </c>
      <c r="U161" s="2"/>
      <c r="V161" s="6">
        <f t="shared" si="23"/>
        <v>0</v>
      </c>
      <c r="W161" s="2"/>
      <c r="X161" s="7">
        <f t="shared" si="24"/>
        <v>0</v>
      </c>
      <c r="Y161" s="2"/>
      <c r="Z161" s="6">
        <f t="shared" si="25"/>
        <v>0</v>
      </c>
    </row>
    <row r="162" spans="1:26" s="24" customFormat="1" hidden="1" outlineLevel="2" x14ac:dyDescent="0.25">
      <c r="A162" s="26"/>
      <c r="B162" s="11" t="str">
        <f>CONCATENATE("          ", "6117", " - ", "RETIREMENT STAFF HOURLY")</f>
        <v xml:space="preserve">          6117 - RETIREMENT STAFF HOURLY</v>
      </c>
      <c r="C162" s="11"/>
      <c r="D162" s="7">
        <v>3123.28</v>
      </c>
      <c r="E162" s="2"/>
      <c r="F162" s="6">
        <f t="shared" si="18"/>
        <v>3.8380532917105942E-3</v>
      </c>
      <c r="G162" s="2"/>
      <c r="H162" s="7"/>
      <c r="I162" s="2"/>
      <c r="J162" s="6">
        <f t="shared" si="19"/>
        <v>0</v>
      </c>
      <c r="K162" s="2"/>
      <c r="L162" s="7">
        <f t="shared" si="20"/>
        <v>3123.28</v>
      </c>
      <c r="M162" s="2"/>
      <c r="N162" s="6">
        <f t="shared" si="21"/>
        <v>0</v>
      </c>
      <c r="O162" s="11"/>
      <c r="P162" s="7">
        <v>19931</v>
      </c>
      <c r="Q162" s="2"/>
      <c r="R162" s="6">
        <f t="shared" si="22"/>
        <v>2.5022746895988568E-3</v>
      </c>
      <c r="S162" s="2"/>
      <c r="T162" s="7"/>
      <c r="U162" s="2"/>
      <c r="V162" s="6">
        <f t="shared" si="23"/>
        <v>0</v>
      </c>
      <c r="W162" s="2"/>
      <c r="X162" s="7">
        <f t="shared" si="24"/>
        <v>19931</v>
      </c>
      <c r="Y162" s="2"/>
      <c r="Z162" s="6">
        <f t="shared" si="25"/>
        <v>0</v>
      </c>
    </row>
    <row r="163" spans="1:26" s="24" customFormat="1" hidden="1" outlineLevel="2" x14ac:dyDescent="0.25">
      <c r="A163" s="26"/>
      <c r="B163" s="11" t="str">
        <f>CONCATENATE("          ", "6118", " - ", "VACATION")</f>
        <v xml:space="preserve">          6118 - VACATION</v>
      </c>
      <c r="C163" s="11"/>
      <c r="D163" s="7">
        <v>14188.83</v>
      </c>
      <c r="E163" s="2"/>
      <c r="F163" s="6">
        <f t="shared" si="18"/>
        <v>1.7435992189948395E-2</v>
      </c>
      <c r="G163" s="2"/>
      <c r="H163" s="7">
        <v>13040.8390430769</v>
      </c>
      <c r="I163" s="2"/>
      <c r="J163" s="6">
        <f t="shared" si="19"/>
        <v>1.0985311497003578E-2</v>
      </c>
      <c r="K163" s="2"/>
      <c r="L163" s="7">
        <f t="shared" si="20"/>
        <v>1147.9909569231004</v>
      </c>
      <c r="M163" s="2"/>
      <c r="N163" s="6">
        <f t="shared" si="21"/>
        <v>8.8030452115160793E-2</v>
      </c>
      <c r="O163" s="11"/>
      <c r="P163" s="7">
        <v>141135.70000000001</v>
      </c>
      <c r="Q163" s="2"/>
      <c r="R163" s="6">
        <f t="shared" si="22"/>
        <v>1.7719145547580022E-2</v>
      </c>
      <c r="S163" s="2"/>
      <c r="T163" s="7">
        <v>126798.22207</v>
      </c>
      <c r="U163" s="2"/>
      <c r="V163" s="6">
        <f t="shared" si="23"/>
        <v>9.1642904275186978E-3</v>
      </c>
      <c r="W163" s="2"/>
      <c r="X163" s="7">
        <f t="shared" si="24"/>
        <v>14337.477930000008</v>
      </c>
      <c r="Y163" s="2"/>
      <c r="Z163" s="6">
        <f t="shared" si="25"/>
        <v>0.11307317796683999</v>
      </c>
    </row>
    <row r="164" spans="1:26" s="24" customFormat="1" hidden="1" outlineLevel="2" x14ac:dyDescent="0.25">
      <c r="A164" s="26"/>
      <c r="B164" s="11" t="str">
        <f>CONCATENATE("          ", "6119", " - ", "SICK LEAVE")</f>
        <v xml:space="preserve">          6119 - SICK LEAVE</v>
      </c>
      <c r="C164" s="11"/>
      <c r="D164" s="7">
        <v>9985.3799999999992</v>
      </c>
      <c r="E164" s="2"/>
      <c r="F164" s="6">
        <f t="shared" si="18"/>
        <v>1.2270568305749444E-2</v>
      </c>
      <c r="G164" s="2"/>
      <c r="H164" s="7">
        <v>12295.036451538501</v>
      </c>
      <c r="I164" s="2"/>
      <c r="J164" s="6">
        <f t="shared" si="19"/>
        <v>1.0357064054008623E-2</v>
      </c>
      <c r="K164" s="2"/>
      <c r="L164" s="7">
        <f t="shared" si="20"/>
        <v>-2309.6564515385016</v>
      </c>
      <c r="M164" s="2"/>
      <c r="N164" s="6">
        <f t="shared" si="21"/>
        <v>-0.18785275347837541</v>
      </c>
      <c r="O164" s="11"/>
      <c r="P164" s="7">
        <v>95490.29</v>
      </c>
      <c r="Q164" s="2"/>
      <c r="R164" s="6">
        <f t="shared" si="22"/>
        <v>1.1988507138099184E-2</v>
      </c>
      <c r="S164" s="2"/>
      <c r="T164" s="7">
        <v>113521.2465675</v>
      </c>
      <c r="U164" s="2"/>
      <c r="V164" s="6">
        <f t="shared" si="23"/>
        <v>8.2047023708597504E-3</v>
      </c>
      <c r="W164" s="2"/>
      <c r="X164" s="7">
        <f t="shared" si="24"/>
        <v>-18030.956567500005</v>
      </c>
      <c r="Y164" s="2"/>
      <c r="Z164" s="6">
        <f t="shared" si="25"/>
        <v>-0.15883332074563467</v>
      </c>
    </row>
    <row r="165" spans="1:26" s="24" customFormat="1" hidden="1" outlineLevel="2" x14ac:dyDescent="0.25">
      <c r="A165" s="26"/>
      <c r="B165" s="11" t="str">
        <f>CONCATENATE("          ", "6156", " - ", "EMPLOYEE MEALS")</f>
        <v xml:space="preserve">          6156 - EMPLOYEE MEALS</v>
      </c>
      <c r="C165" s="11"/>
      <c r="D165" s="7">
        <v>5217.07</v>
      </c>
      <c r="E165" s="2"/>
      <c r="F165" s="6">
        <f t="shared" si="18"/>
        <v>6.4110142819678627E-3</v>
      </c>
      <c r="G165" s="2"/>
      <c r="H165" s="7">
        <v>6350</v>
      </c>
      <c r="I165" s="2"/>
      <c r="J165" s="6">
        <f t="shared" si="19"/>
        <v>5.3490981504756068E-3</v>
      </c>
      <c r="K165" s="2"/>
      <c r="L165" s="7">
        <f t="shared" si="20"/>
        <v>-1132.9300000000003</v>
      </c>
      <c r="M165" s="2"/>
      <c r="N165" s="6">
        <f t="shared" si="21"/>
        <v>-0.17841417322834649</v>
      </c>
      <c r="O165" s="11"/>
      <c r="P165" s="7">
        <v>42154.61</v>
      </c>
      <c r="Q165" s="2"/>
      <c r="R165" s="6">
        <f t="shared" si="22"/>
        <v>5.2923793915463785E-3</v>
      </c>
      <c r="S165" s="2"/>
      <c r="T165" s="7">
        <v>57150</v>
      </c>
      <c r="U165" s="2"/>
      <c r="V165" s="6">
        <f t="shared" si="23"/>
        <v>4.1304932307612251E-3</v>
      </c>
      <c r="W165" s="2"/>
      <c r="X165" s="7">
        <f t="shared" si="24"/>
        <v>-14995.39</v>
      </c>
      <c r="Y165" s="2"/>
      <c r="Z165" s="6">
        <f t="shared" si="25"/>
        <v>-0.26238652668416446</v>
      </c>
    </row>
    <row r="166" spans="1:26" s="25" customFormat="1" outlineLevel="1" collapsed="1" x14ac:dyDescent="0.25">
      <c r="A166" s="27"/>
      <c r="B166" s="13" t="str">
        <f>CONCATENATE("     ","*Payroll                                          ")</f>
        <v xml:space="preserve">     *Payroll                                          </v>
      </c>
      <c r="C166" s="13"/>
      <c r="D166" s="1">
        <f>SUM(OSRRefD22_1x_0)</f>
        <v>271183.71999999997</v>
      </c>
      <c r="E166" s="1"/>
      <c r="F166" s="5">
        <f t="shared" ref="F166:F176" si="26">IF(D$12=0,0,D166/D$12)</f>
        <v>0.33324504021551826</v>
      </c>
      <c r="G166" s="1"/>
      <c r="H166" s="1">
        <f>SUM(OSRRefH22_1x_0)</f>
        <v>392403.38610869279</v>
      </c>
      <c r="I166" s="1"/>
      <c r="J166" s="5">
        <f t="shared" ref="J166:J176" si="27">IF(H$12=0,0,H166/H$12)</f>
        <v>0.33055184675186988</v>
      </c>
      <c r="K166" s="1"/>
      <c r="L166" s="1">
        <f t="shared" ref="L166:L176" si="28">+D166-H166</f>
        <v>-121219.66610869282</v>
      </c>
      <c r="M166" s="1"/>
      <c r="N166" s="5">
        <f t="shared" ref="N166:N176" si="29">IF(H166=0,0,L166/H166)</f>
        <v>-0.30891595332746669</v>
      </c>
      <c r="O166" s="13"/>
      <c r="P166" s="1">
        <f>SUM(OSRRefP22_1x_0)</f>
        <v>2579207.0299999998</v>
      </c>
      <c r="Q166" s="1"/>
      <c r="R166" s="5">
        <f t="shared" ref="R166:R176" si="30">IF(P$12=0,0,P166/P$12)</f>
        <v>0.32381137275623095</v>
      </c>
      <c r="S166" s="1"/>
      <c r="T166" s="1">
        <f>SUM(OSRRefT22_1x_0)</f>
        <v>3640904.7056759996</v>
      </c>
      <c r="U166" s="1"/>
      <c r="V166" s="5">
        <f t="shared" ref="V166:V176" si="31">IF(T$12=0,0,T166/T$12)</f>
        <v>0.26314492109608761</v>
      </c>
      <c r="W166" s="1"/>
      <c r="X166" s="1">
        <f t="shared" ref="X166:X176" si="32">+P166-T166</f>
        <v>-1061697.6756759998</v>
      </c>
      <c r="Y166" s="1"/>
      <c r="Z166" s="5">
        <f t="shared" ref="Z166:Z176" si="33">IF(T166=0,0,X166/T166)</f>
        <v>-0.29160270907965896</v>
      </c>
    </row>
    <row r="167" spans="1:26" s="24" customFormat="1" hidden="1" outlineLevel="2" x14ac:dyDescent="0.25">
      <c r="A167" s="26"/>
      <c r="B167" s="11" t="str">
        <f>CONCATENATE("          ", "6001", " - ", "ADMINISTRATIVE SALARIES")</f>
        <v xml:space="preserve">          6001 - ADMINISTRATIVE SALARIES</v>
      </c>
      <c r="C167" s="11"/>
      <c r="D167" s="7">
        <v>27556.35</v>
      </c>
      <c r="E167" s="2"/>
      <c r="F167" s="6">
        <f t="shared" si="26"/>
        <v>3.3862714782225488E-2</v>
      </c>
      <c r="G167" s="2"/>
      <c r="H167" s="7">
        <v>27028.930769230799</v>
      </c>
      <c r="I167" s="2"/>
      <c r="J167" s="6">
        <f t="shared" si="27"/>
        <v>2.276856749401979E-2</v>
      </c>
      <c r="K167" s="2"/>
      <c r="L167" s="7">
        <f t="shared" si="28"/>
        <v>527.4192307691992</v>
      </c>
      <c r="M167" s="2"/>
      <c r="N167" s="6">
        <f t="shared" si="29"/>
        <v>1.9513137063105833E-2</v>
      </c>
      <c r="O167" s="11"/>
      <c r="P167" s="7">
        <v>257523.53</v>
      </c>
      <c r="Q167" s="2"/>
      <c r="R167" s="6">
        <f t="shared" si="30"/>
        <v>3.2331273448153723E-2</v>
      </c>
      <c r="S167" s="2"/>
      <c r="T167" s="7">
        <v>263532.07500000001</v>
      </c>
      <c r="U167" s="2"/>
      <c r="V167" s="6">
        <f t="shared" si="31"/>
        <v>1.9046674573507602E-2</v>
      </c>
      <c r="W167" s="2"/>
      <c r="X167" s="7">
        <f t="shared" si="32"/>
        <v>-6008.5450000000128</v>
      </c>
      <c r="Y167" s="2"/>
      <c r="Z167" s="6">
        <f t="shared" si="33"/>
        <v>-2.2800051948135773E-2</v>
      </c>
    </row>
    <row r="168" spans="1:26" s="24" customFormat="1" hidden="1" outlineLevel="2" x14ac:dyDescent="0.25">
      <c r="A168" s="26"/>
      <c r="B168" s="11" t="str">
        <f>CONCATENATE("          ", "6002", " - ", "STAFF SALARIES")</f>
        <v xml:space="preserve">          6002 - STAFF SALARIES</v>
      </c>
      <c r="C168" s="11"/>
      <c r="D168" s="7">
        <v>106794.62</v>
      </c>
      <c r="E168" s="2"/>
      <c r="F168" s="6">
        <f t="shared" si="26"/>
        <v>0.13123493341230438</v>
      </c>
      <c r="G168" s="2"/>
      <c r="H168" s="7">
        <v>102906.631594462</v>
      </c>
      <c r="I168" s="2"/>
      <c r="J168" s="6">
        <f t="shared" si="27"/>
        <v>8.6686247674584452E-2</v>
      </c>
      <c r="K168" s="2"/>
      <c r="L168" s="7">
        <f t="shared" si="28"/>
        <v>3887.9884055379953</v>
      </c>
      <c r="M168" s="2"/>
      <c r="N168" s="6">
        <f t="shared" si="29"/>
        <v>3.7781708965656496E-2</v>
      </c>
      <c r="O168" s="11"/>
      <c r="P168" s="7">
        <v>1011277.69</v>
      </c>
      <c r="Q168" s="2"/>
      <c r="R168" s="6">
        <f t="shared" si="30"/>
        <v>0.12696274987923331</v>
      </c>
      <c r="S168" s="2"/>
      <c r="T168" s="7">
        <v>1000904.8619960001</v>
      </c>
      <c r="U168" s="2"/>
      <c r="V168" s="6">
        <f t="shared" si="31"/>
        <v>7.2339995749964595E-2</v>
      </c>
      <c r="W168" s="2"/>
      <c r="X168" s="7">
        <f t="shared" si="32"/>
        <v>10372.828003999894</v>
      </c>
      <c r="Y168" s="2"/>
      <c r="Z168" s="6">
        <f t="shared" si="33"/>
        <v>1.0363450511484623E-2</v>
      </c>
    </row>
    <row r="169" spans="1:26" s="24" customFormat="1" hidden="1" outlineLevel="2" x14ac:dyDescent="0.25">
      <c r="A169" s="26"/>
      <c r="B169" s="11" t="str">
        <f>CONCATENATE("          ", "6003", " - ", "STAFF HOURLY-9 MONTH")</f>
        <v xml:space="preserve">          6003 - STAFF HOURLY-9 MONTH</v>
      </c>
      <c r="C169" s="11"/>
      <c r="D169" s="7"/>
      <c r="E169" s="2"/>
      <c r="F169" s="6">
        <f t="shared" si="26"/>
        <v>0</v>
      </c>
      <c r="G169" s="2"/>
      <c r="H169" s="7">
        <v>0</v>
      </c>
      <c r="I169" s="2"/>
      <c r="J169" s="6">
        <f t="shared" si="27"/>
        <v>0</v>
      </c>
      <c r="K169" s="2"/>
      <c r="L169" s="7">
        <f t="shared" si="28"/>
        <v>0</v>
      </c>
      <c r="M169" s="2"/>
      <c r="N169" s="6">
        <f t="shared" si="29"/>
        <v>0</v>
      </c>
      <c r="O169" s="11"/>
      <c r="P169" s="7"/>
      <c r="Q169" s="2"/>
      <c r="R169" s="6">
        <f t="shared" si="30"/>
        <v>0</v>
      </c>
      <c r="S169" s="2"/>
      <c r="T169" s="7">
        <v>0</v>
      </c>
      <c r="U169" s="2"/>
      <c r="V169" s="6">
        <f t="shared" si="31"/>
        <v>0</v>
      </c>
      <c r="W169" s="2"/>
      <c r="X169" s="7">
        <f t="shared" si="32"/>
        <v>0</v>
      </c>
      <c r="Y169" s="2"/>
      <c r="Z169" s="6">
        <f t="shared" si="33"/>
        <v>0</v>
      </c>
    </row>
    <row r="170" spans="1:26" s="24" customFormat="1" hidden="1" outlineLevel="2" x14ac:dyDescent="0.25">
      <c r="A170" s="26"/>
      <c r="B170" s="11" t="str">
        <f>CONCATENATE("          ", "6004", " - ", "STAFF HOURLY")</f>
        <v xml:space="preserve">          6004 - STAFF HOURLY</v>
      </c>
      <c r="C170" s="11"/>
      <c r="D170" s="7">
        <v>62538.52</v>
      </c>
      <c r="E170" s="2"/>
      <c r="F170" s="6">
        <f t="shared" si="26"/>
        <v>7.6850673825180196E-2</v>
      </c>
      <c r="G170" s="2"/>
      <c r="H170" s="7">
        <v>112383.5488</v>
      </c>
      <c r="I170" s="2"/>
      <c r="J170" s="6">
        <f t="shared" si="27"/>
        <v>9.466939102834096E-2</v>
      </c>
      <c r="K170" s="2"/>
      <c r="L170" s="7">
        <f t="shared" si="28"/>
        <v>-49845.028800000007</v>
      </c>
      <c r="M170" s="2"/>
      <c r="N170" s="6">
        <f t="shared" si="29"/>
        <v>-0.44352602611530989</v>
      </c>
      <c r="O170" s="11"/>
      <c r="P170" s="7">
        <v>590159.57999999996</v>
      </c>
      <c r="Q170" s="2"/>
      <c r="R170" s="6">
        <f t="shared" si="30"/>
        <v>7.4092688769168219E-2</v>
      </c>
      <c r="S170" s="2"/>
      <c r="T170" s="7">
        <v>1038340.1811</v>
      </c>
      <c r="U170" s="2"/>
      <c r="V170" s="6">
        <f t="shared" si="31"/>
        <v>7.5045618359771388E-2</v>
      </c>
      <c r="W170" s="2"/>
      <c r="X170" s="7">
        <f t="shared" si="32"/>
        <v>-448180.60110000009</v>
      </c>
      <c r="Y170" s="2"/>
      <c r="Z170" s="6">
        <f t="shared" si="33"/>
        <v>-0.43163176120681868</v>
      </c>
    </row>
    <row r="171" spans="1:26" s="24" customFormat="1" hidden="1" outlineLevel="2" x14ac:dyDescent="0.25">
      <c r="A171" s="26"/>
      <c r="B171" s="11" t="str">
        <f>CONCATENATE("          ", "6005", " - ", "TEMPORARY WAGES-HOURLY")</f>
        <v xml:space="preserve">          6005 - TEMPORARY WAGES-HOURLY</v>
      </c>
      <c r="C171" s="11"/>
      <c r="D171" s="7">
        <v>29141.54</v>
      </c>
      <c r="E171" s="2"/>
      <c r="F171" s="6">
        <f t="shared" si="26"/>
        <v>3.5810680925986764E-2</v>
      </c>
      <c r="G171" s="2"/>
      <c r="H171" s="7">
        <v>28098.184695</v>
      </c>
      <c r="I171" s="2"/>
      <c r="J171" s="6">
        <f t="shared" si="27"/>
        <v>2.3669283115550627E-2</v>
      </c>
      <c r="K171" s="2"/>
      <c r="L171" s="7">
        <f t="shared" si="28"/>
        <v>1043.355305000001</v>
      </c>
      <c r="M171" s="2"/>
      <c r="N171" s="6">
        <f t="shared" si="29"/>
        <v>3.7132480846197274E-2</v>
      </c>
      <c r="O171" s="11"/>
      <c r="P171" s="7">
        <v>288598.49</v>
      </c>
      <c r="Q171" s="2"/>
      <c r="R171" s="6">
        <f t="shared" si="30"/>
        <v>3.6232637448369312E-2</v>
      </c>
      <c r="S171" s="2"/>
      <c r="T171" s="7">
        <v>174234.56870999999</v>
      </c>
      <c r="U171" s="2"/>
      <c r="V171" s="6">
        <f t="shared" si="31"/>
        <v>1.2592733274212712E-2</v>
      </c>
      <c r="W171" s="2"/>
      <c r="X171" s="7">
        <f t="shared" si="32"/>
        <v>114363.92129</v>
      </c>
      <c r="Y171" s="2"/>
      <c r="Z171" s="6">
        <f t="shared" si="33"/>
        <v>0.65637905346068226</v>
      </c>
    </row>
    <row r="172" spans="1:26" s="24" customFormat="1" hidden="1" outlineLevel="2" x14ac:dyDescent="0.25">
      <c r="A172" s="26"/>
      <c r="B172" s="11" t="str">
        <f>CONCATENATE("          ", "6006", " - ", "TEMPORARY PART TIME")</f>
        <v xml:space="preserve">          6006 - TEMPORARY PART TIME</v>
      </c>
      <c r="C172" s="11"/>
      <c r="D172" s="7">
        <v>2740.85</v>
      </c>
      <c r="E172" s="2"/>
      <c r="F172" s="6">
        <f t="shared" si="26"/>
        <v>3.3681028804926167E-3</v>
      </c>
      <c r="G172" s="2"/>
      <c r="H172" s="7">
        <v>0</v>
      </c>
      <c r="I172" s="2"/>
      <c r="J172" s="6">
        <f t="shared" si="27"/>
        <v>0</v>
      </c>
      <c r="K172" s="2"/>
      <c r="L172" s="7">
        <f t="shared" si="28"/>
        <v>2740.85</v>
      </c>
      <c r="M172" s="2"/>
      <c r="N172" s="6">
        <f t="shared" si="29"/>
        <v>0</v>
      </c>
      <c r="O172" s="11"/>
      <c r="P172" s="7">
        <v>15380.25</v>
      </c>
      <c r="Q172" s="2"/>
      <c r="R172" s="6">
        <f t="shared" si="30"/>
        <v>1.9309422655512929E-3</v>
      </c>
      <c r="S172" s="2"/>
      <c r="T172" s="7">
        <v>0</v>
      </c>
      <c r="U172" s="2"/>
      <c r="V172" s="6">
        <f t="shared" si="31"/>
        <v>0</v>
      </c>
      <c r="W172" s="2"/>
      <c r="X172" s="7">
        <f t="shared" si="32"/>
        <v>15380.25</v>
      </c>
      <c r="Y172" s="2"/>
      <c r="Z172" s="6">
        <f t="shared" si="33"/>
        <v>0</v>
      </c>
    </row>
    <row r="173" spans="1:26" s="24" customFormat="1" hidden="1" outlineLevel="2" x14ac:dyDescent="0.25">
      <c r="A173" s="26"/>
      <c r="B173" s="11" t="str">
        <f>CONCATENATE("          ", "6007", " - ", "STUDENT HOURLY")</f>
        <v xml:space="preserve">          6007 - STUDENT HOURLY</v>
      </c>
      <c r="C173" s="11"/>
      <c r="D173" s="7">
        <v>41299.47</v>
      </c>
      <c r="E173" s="2"/>
      <c r="F173" s="6">
        <f t="shared" si="26"/>
        <v>5.0750994716901116E-2</v>
      </c>
      <c r="G173" s="2"/>
      <c r="H173" s="7">
        <v>0</v>
      </c>
      <c r="I173" s="2"/>
      <c r="J173" s="6">
        <f t="shared" si="27"/>
        <v>0</v>
      </c>
      <c r="K173" s="2"/>
      <c r="L173" s="7">
        <f t="shared" si="28"/>
        <v>41299.47</v>
      </c>
      <c r="M173" s="2"/>
      <c r="N173" s="6">
        <f t="shared" si="29"/>
        <v>0</v>
      </c>
      <c r="O173" s="11"/>
      <c r="P173" s="7">
        <v>393313.11</v>
      </c>
      <c r="Q173" s="2"/>
      <c r="R173" s="6">
        <f t="shared" si="30"/>
        <v>4.9379230356751347E-2</v>
      </c>
      <c r="S173" s="2"/>
      <c r="T173" s="7">
        <v>195330.11249999999</v>
      </c>
      <c r="U173" s="2"/>
      <c r="V173" s="6">
        <f t="shared" si="31"/>
        <v>1.4117405204638294E-2</v>
      </c>
      <c r="W173" s="2"/>
      <c r="X173" s="7">
        <f t="shared" si="32"/>
        <v>197982.9975</v>
      </c>
      <c r="Y173" s="2"/>
      <c r="Z173" s="6">
        <f t="shared" si="33"/>
        <v>1.0135815464704656</v>
      </c>
    </row>
    <row r="174" spans="1:26" s="24" customFormat="1" hidden="1" outlineLevel="2" x14ac:dyDescent="0.25">
      <c r="A174" s="26"/>
      <c r="B174" s="11" t="str">
        <f>CONCATENATE("          ", "6008", " - ", "STUDENT HOURLY-FICA EXEMPT")</f>
        <v xml:space="preserve">          6008 - STUDENT HOURLY-FICA EXEMPT</v>
      </c>
      <c r="C174" s="11"/>
      <c r="D174" s="7">
        <v>1112.3699999999999</v>
      </c>
      <c r="E174" s="2"/>
      <c r="F174" s="6">
        <f t="shared" si="26"/>
        <v>1.3669396724277404E-3</v>
      </c>
      <c r="G174" s="2"/>
      <c r="H174" s="7">
        <v>121986.09024999999</v>
      </c>
      <c r="I174" s="2"/>
      <c r="J174" s="6">
        <f t="shared" si="27"/>
        <v>0.10275835743937407</v>
      </c>
      <c r="K174" s="2"/>
      <c r="L174" s="7">
        <f t="shared" si="28"/>
        <v>-120873.72025</v>
      </c>
      <c r="M174" s="2"/>
      <c r="N174" s="6">
        <f t="shared" si="29"/>
        <v>-0.9908811734377232</v>
      </c>
      <c r="O174" s="11"/>
      <c r="P174" s="7">
        <v>22954.38</v>
      </c>
      <c r="Q174" s="2"/>
      <c r="R174" s="6">
        <f t="shared" si="30"/>
        <v>2.8818505890037737E-3</v>
      </c>
      <c r="S174" s="2"/>
      <c r="T174" s="7">
        <v>968562.90636999998</v>
      </c>
      <c r="U174" s="2"/>
      <c r="V174" s="6">
        <f t="shared" si="31"/>
        <v>7.0002493933993049E-2</v>
      </c>
      <c r="W174" s="2"/>
      <c r="X174" s="7">
        <f t="shared" si="32"/>
        <v>-945608.52636999998</v>
      </c>
      <c r="Y174" s="2"/>
      <c r="Z174" s="6">
        <f t="shared" si="33"/>
        <v>-0.97630057908574164</v>
      </c>
    </row>
    <row r="175" spans="1:26" s="24" customFormat="1" hidden="1" outlineLevel="2" x14ac:dyDescent="0.25">
      <c r="A175" s="26"/>
      <c r="B175" s="11" t="str">
        <f>CONCATENATE("          ", "6009", " - ", "TEMPORARY-SEASONAL")</f>
        <v xml:space="preserve">          6009 - TEMPORARY-SEASONAL</v>
      </c>
      <c r="C175" s="11"/>
      <c r="D175" s="7"/>
      <c r="E175" s="2"/>
      <c r="F175" s="6">
        <f t="shared" si="26"/>
        <v>0</v>
      </c>
      <c r="G175" s="2"/>
      <c r="H175" s="7">
        <v>0</v>
      </c>
      <c r="I175" s="2"/>
      <c r="J175" s="6">
        <f t="shared" si="27"/>
        <v>0</v>
      </c>
      <c r="K175" s="2"/>
      <c r="L175" s="7">
        <f t="shared" si="28"/>
        <v>0</v>
      </c>
      <c r="M175" s="2"/>
      <c r="N175" s="6">
        <f t="shared" si="29"/>
        <v>0</v>
      </c>
      <c r="O175" s="11"/>
      <c r="P175" s="7"/>
      <c r="Q175" s="2"/>
      <c r="R175" s="6">
        <f t="shared" si="30"/>
        <v>0</v>
      </c>
      <c r="S175" s="2"/>
      <c r="T175" s="7">
        <v>0</v>
      </c>
      <c r="U175" s="2"/>
      <c r="V175" s="6">
        <f t="shared" si="31"/>
        <v>0</v>
      </c>
      <c r="W175" s="2"/>
      <c r="X175" s="7">
        <f t="shared" si="32"/>
        <v>0</v>
      </c>
      <c r="Y175" s="2"/>
      <c r="Z175" s="6">
        <f t="shared" si="33"/>
        <v>0</v>
      </c>
    </row>
    <row r="176" spans="1:26" s="24" customFormat="1" hidden="1" outlineLevel="2" x14ac:dyDescent="0.25">
      <c r="A176" s="26"/>
      <c r="B176" s="11" t="str">
        <f>CONCATENATE("          ", "6010", " - ", "GRATUITY")</f>
        <v xml:space="preserve">          6010 - GRATUITY</v>
      </c>
      <c r="C176" s="11"/>
      <c r="D176" s="7"/>
      <c r="E176" s="2"/>
      <c r="F176" s="6">
        <f t="shared" si="26"/>
        <v>0</v>
      </c>
      <c r="G176" s="2"/>
      <c r="H176" s="7">
        <v>0</v>
      </c>
      <c r="I176" s="2"/>
      <c r="J176" s="6">
        <f t="shared" si="27"/>
        <v>0</v>
      </c>
      <c r="K176" s="2"/>
      <c r="L176" s="7">
        <f t="shared" si="28"/>
        <v>0</v>
      </c>
      <c r="M176" s="2"/>
      <c r="N176" s="6">
        <f t="shared" si="29"/>
        <v>0</v>
      </c>
      <c r="O176" s="11"/>
      <c r="P176" s="7"/>
      <c r="Q176" s="2"/>
      <c r="R176" s="6">
        <f t="shared" si="30"/>
        <v>0</v>
      </c>
      <c r="S176" s="2"/>
      <c r="T176" s="7">
        <v>0</v>
      </c>
      <c r="U176" s="2"/>
      <c r="V176" s="6">
        <f t="shared" si="31"/>
        <v>0</v>
      </c>
      <c r="W176" s="2"/>
      <c r="X176" s="7">
        <f t="shared" si="32"/>
        <v>0</v>
      </c>
      <c r="Y176" s="2"/>
      <c r="Z176" s="6">
        <f t="shared" si="33"/>
        <v>0</v>
      </c>
    </row>
    <row r="177" spans="1:26" s="25" customFormat="1" outlineLevel="1" collapsed="1" x14ac:dyDescent="0.25">
      <c r="A177" s="27"/>
      <c r="B177" s="13" t="str">
        <f>CONCATENATE("     ","Advertising/Promo                                 ")</f>
        <v xml:space="preserve">     Advertising/Promo                                 </v>
      </c>
      <c r="C177" s="13"/>
      <c r="D177" s="1">
        <f>SUM(OSRRefD22_2x_0)</f>
        <v>228.62</v>
      </c>
      <c r="E177" s="1"/>
      <c r="F177" s="5">
        <f t="shared" ref="F177:F181" si="34">IF(D$12=0,0,D177/D$12)</f>
        <v>2.8094046756963061E-4</v>
      </c>
      <c r="G177" s="1"/>
      <c r="H177" s="1">
        <f>SUM(OSRRefH22_2x_0)</f>
        <v>4549</v>
      </c>
      <c r="I177" s="1"/>
      <c r="J177" s="5">
        <f t="shared" ref="J177:J181" si="35">IF(H$12=0,0,H177/H$12)</f>
        <v>3.8319759821281154E-3</v>
      </c>
      <c r="K177" s="1"/>
      <c r="L177" s="1">
        <f t="shared" ref="L177:L181" si="36">+D177-H177</f>
        <v>-4320.38</v>
      </c>
      <c r="M177" s="1"/>
      <c r="N177" s="5">
        <f t="shared" ref="N177:N181" si="37">IF(H177=0,0,L177/H177)</f>
        <v>-0.94974280061551997</v>
      </c>
      <c r="O177" s="13"/>
      <c r="P177" s="1">
        <f>SUM(OSRRefP22_2x_0)</f>
        <v>18639.34</v>
      </c>
      <c r="Q177" s="1"/>
      <c r="R177" s="5">
        <f t="shared" ref="R177:R181" si="38">IF(P$12=0,0,P177/P$12)</f>
        <v>2.3401108179633514E-3</v>
      </c>
      <c r="S177" s="1"/>
      <c r="T177" s="1">
        <f>SUM(OSRRefT22_2x_0)</f>
        <v>33469</v>
      </c>
      <c r="U177" s="1"/>
      <c r="V177" s="5">
        <f t="shared" ref="V177:V181" si="39">IF(T$12=0,0,T177/T$12)</f>
        <v>2.418958494144312E-3</v>
      </c>
      <c r="W177" s="1"/>
      <c r="X177" s="1">
        <f t="shared" ref="X177:X181" si="40">+P177-T177</f>
        <v>-14829.66</v>
      </c>
      <c r="Y177" s="1"/>
      <c r="Z177" s="5">
        <f t="shared" ref="Z177:Z181" si="41">IF(T177=0,0,X177/T177)</f>
        <v>-0.44308643819654009</v>
      </c>
    </row>
    <row r="178" spans="1:26" s="24" customFormat="1" hidden="1" outlineLevel="2" x14ac:dyDescent="0.25">
      <c r="A178" s="26"/>
      <c r="B178" s="11" t="str">
        <f>CONCATENATE("          ", "6362", " - ", "ADVERTISING EXPENSE")</f>
        <v xml:space="preserve">          6362 - ADVERTISING EXPENSE</v>
      </c>
      <c r="C178" s="11"/>
      <c r="D178" s="7">
        <v>228.62</v>
      </c>
      <c r="E178" s="2"/>
      <c r="F178" s="6">
        <f t="shared" si="34"/>
        <v>2.8094046756963061E-4</v>
      </c>
      <c r="G178" s="2"/>
      <c r="H178" s="7">
        <v>4549</v>
      </c>
      <c r="I178" s="2"/>
      <c r="J178" s="6">
        <f t="shared" si="35"/>
        <v>3.8319759821281154E-3</v>
      </c>
      <c r="K178" s="2"/>
      <c r="L178" s="7">
        <f t="shared" si="36"/>
        <v>-4320.38</v>
      </c>
      <c r="M178" s="2"/>
      <c r="N178" s="6">
        <f t="shared" si="37"/>
        <v>-0.94974280061551997</v>
      </c>
      <c r="O178" s="11"/>
      <c r="P178" s="7">
        <v>18639.34</v>
      </c>
      <c r="Q178" s="2"/>
      <c r="R178" s="6">
        <f t="shared" si="38"/>
        <v>2.3401108179633514E-3</v>
      </c>
      <c r="S178" s="2"/>
      <c r="T178" s="7">
        <v>33469</v>
      </c>
      <c r="U178" s="2"/>
      <c r="V178" s="6">
        <f t="shared" si="39"/>
        <v>2.418958494144312E-3</v>
      </c>
      <c r="W178" s="2"/>
      <c r="X178" s="7">
        <f t="shared" si="40"/>
        <v>-14829.66</v>
      </c>
      <c r="Y178" s="2"/>
      <c r="Z178" s="6">
        <f t="shared" si="41"/>
        <v>-0.44308643819654009</v>
      </c>
    </row>
    <row r="179" spans="1:26" s="25" customFormat="1" outlineLevel="1" collapsed="1" x14ac:dyDescent="0.25">
      <c r="A179" s="27"/>
      <c r="B179" s="13" t="str">
        <f>CONCATENATE("     ","Bad Debts/Over/Short                              ")</f>
        <v xml:space="preserve">     Bad Debts/Over/Short                              </v>
      </c>
      <c r="C179" s="13"/>
      <c r="D179" s="1">
        <f>SUM(OSRRefD22_3x_0)</f>
        <v>-16.899999999999999</v>
      </c>
      <c r="E179" s="1"/>
      <c r="F179" s="5">
        <f t="shared" si="34"/>
        <v>-2.0767622701105577E-5</v>
      </c>
      <c r="G179" s="1"/>
      <c r="H179" s="1">
        <f>SUM(OSRRefH22_3x_0)</f>
        <v>154</v>
      </c>
      <c r="I179" s="1"/>
      <c r="J179" s="5">
        <f t="shared" si="35"/>
        <v>1.2972615986980211E-4</v>
      </c>
      <c r="K179" s="1"/>
      <c r="L179" s="1">
        <f t="shared" si="36"/>
        <v>-170.9</v>
      </c>
      <c r="M179" s="1"/>
      <c r="N179" s="5">
        <f t="shared" si="37"/>
        <v>-1.1097402597402597</v>
      </c>
      <c r="O179" s="13"/>
      <c r="P179" s="1">
        <f>SUM(OSRRefP22_3x_0)</f>
        <v>5249.2</v>
      </c>
      <c r="Q179" s="1"/>
      <c r="R179" s="5">
        <f t="shared" si="38"/>
        <v>6.590206362270995E-4</v>
      </c>
      <c r="S179" s="1"/>
      <c r="T179" s="1">
        <f>SUM(OSRRefT22_3x_0)</f>
        <v>1400</v>
      </c>
      <c r="U179" s="1"/>
      <c r="V179" s="5">
        <f t="shared" si="39"/>
        <v>1.0118443609913762E-4</v>
      </c>
      <c r="W179" s="1"/>
      <c r="X179" s="1">
        <f t="shared" si="40"/>
        <v>3849.2</v>
      </c>
      <c r="Y179" s="1"/>
      <c r="Z179" s="5">
        <f t="shared" si="41"/>
        <v>2.7494285714285711</v>
      </c>
    </row>
    <row r="180" spans="1:26" s="24" customFormat="1" hidden="1" outlineLevel="2" x14ac:dyDescent="0.25">
      <c r="A180" s="26"/>
      <c r="B180" s="11" t="str">
        <f>CONCATENATE("          ", "6272", " - ", "CASH (OVER/SHORT)")</f>
        <v xml:space="preserve">          6272 - CASH (OVER/SHORT)</v>
      </c>
      <c r="C180" s="11"/>
      <c r="D180" s="7">
        <v>-16.899999999999999</v>
      </c>
      <c r="E180" s="2"/>
      <c r="F180" s="6">
        <f t="shared" si="34"/>
        <v>-2.0767622701105577E-5</v>
      </c>
      <c r="G180" s="2"/>
      <c r="H180" s="7">
        <v>104</v>
      </c>
      <c r="I180" s="2"/>
      <c r="J180" s="6">
        <f t="shared" si="35"/>
        <v>8.7607276795191033E-5</v>
      </c>
      <c r="K180" s="2"/>
      <c r="L180" s="7">
        <f t="shared" si="36"/>
        <v>-120.9</v>
      </c>
      <c r="M180" s="2"/>
      <c r="N180" s="6">
        <f t="shared" si="37"/>
        <v>-1.1625000000000001</v>
      </c>
      <c r="O180" s="11"/>
      <c r="P180" s="7">
        <v>-100.22</v>
      </c>
      <c r="Q180" s="2"/>
      <c r="R180" s="6">
        <f t="shared" si="38"/>
        <v>-1.2582307430214111E-5</v>
      </c>
      <c r="S180" s="2"/>
      <c r="T180" s="7">
        <v>950</v>
      </c>
      <c r="U180" s="2"/>
      <c r="V180" s="6">
        <f t="shared" si="39"/>
        <v>6.8660867352986237E-5</v>
      </c>
      <c r="W180" s="2"/>
      <c r="X180" s="7">
        <f t="shared" si="40"/>
        <v>-1050.22</v>
      </c>
      <c r="Y180" s="2"/>
      <c r="Z180" s="6">
        <f t="shared" si="41"/>
        <v>-1.1054947368421053</v>
      </c>
    </row>
    <row r="181" spans="1:26" s="24" customFormat="1" hidden="1" outlineLevel="2" x14ac:dyDescent="0.25">
      <c r="A181" s="26"/>
      <c r="B181" s="11" t="str">
        <f>CONCATENATE("          ", "6342", " - ", "BAD DEBT")</f>
        <v xml:space="preserve">          6342 - BAD DEBT</v>
      </c>
      <c r="C181" s="11"/>
      <c r="D181" s="7"/>
      <c r="E181" s="2"/>
      <c r="F181" s="6">
        <f t="shared" si="34"/>
        <v>0</v>
      </c>
      <c r="G181" s="2"/>
      <c r="H181" s="7">
        <v>50</v>
      </c>
      <c r="I181" s="2"/>
      <c r="J181" s="6">
        <f t="shared" si="35"/>
        <v>4.2118883074611074E-5</v>
      </c>
      <c r="K181" s="2"/>
      <c r="L181" s="7">
        <f t="shared" si="36"/>
        <v>-50</v>
      </c>
      <c r="M181" s="2"/>
      <c r="N181" s="6">
        <f t="shared" si="37"/>
        <v>-1</v>
      </c>
      <c r="O181" s="11"/>
      <c r="P181" s="7">
        <v>5349.42</v>
      </c>
      <c r="Q181" s="2"/>
      <c r="R181" s="6">
        <f t="shared" si="38"/>
        <v>6.7160294365731362E-4</v>
      </c>
      <c r="S181" s="2"/>
      <c r="T181" s="7">
        <v>450</v>
      </c>
      <c r="U181" s="2"/>
      <c r="V181" s="6">
        <f t="shared" si="39"/>
        <v>3.2523568746151378E-5</v>
      </c>
      <c r="W181" s="2"/>
      <c r="X181" s="7">
        <f t="shared" si="40"/>
        <v>4899.42</v>
      </c>
      <c r="Y181" s="2"/>
      <c r="Z181" s="6">
        <f t="shared" si="41"/>
        <v>10.887600000000001</v>
      </c>
    </row>
    <row r="182" spans="1:26" s="25" customFormat="1" outlineLevel="1" collapsed="1" x14ac:dyDescent="0.25">
      <c r="A182" s="27"/>
      <c r="B182" s="13" t="str">
        <f>CONCATENATE("     ","Bank/card Fees                                    ")</f>
        <v xml:space="preserve">     Bank/card Fees                                    </v>
      </c>
      <c r="C182" s="13"/>
      <c r="D182" s="1">
        <f>SUM(OSRRefD22_4x_0)</f>
        <v>4821.8</v>
      </c>
      <c r="E182" s="1"/>
      <c r="F182" s="5">
        <f t="shared" ref="F182:F187" si="42">IF(D$12=0,0,D182/D$12)</f>
        <v>5.9252853929107037E-3</v>
      </c>
      <c r="G182" s="1"/>
      <c r="H182" s="1">
        <f>SUM(OSRRefH22_4x_0)</f>
        <v>25506</v>
      </c>
      <c r="I182" s="1"/>
      <c r="J182" s="5">
        <f t="shared" ref="J182:J187" si="43">IF(H$12=0,0,H182/H$12)</f>
        <v>2.1485684634020601E-2</v>
      </c>
      <c r="K182" s="1"/>
      <c r="L182" s="1">
        <f t="shared" ref="L182:L187" si="44">+D182-H182</f>
        <v>-20684.2</v>
      </c>
      <c r="M182" s="1"/>
      <c r="N182" s="5">
        <f t="shared" ref="N182:N187" si="45">IF(H182=0,0,L182/H182)</f>
        <v>-0.81095428526621194</v>
      </c>
      <c r="O182" s="13"/>
      <c r="P182" s="1">
        <f>SUM(OSRRefP22_4x_0)</f>
        <v>77291.31</v>
      </c>
      <c r="Q182" s="1"/>
      <c r="R182" s="5">
        <f t="shared" ref="R182:R187" si="46">IF(P$12=0,0,P182/P$12)</f>
        <v>9.7036821403310939E-3</v>
      </c>
      <c r="S182" s="1"/>
      <c r="T182" s="1">
        <f>SUM(OSRRefT22_4x_0)</f>
        <v>251703</v>
      </c>
      <c r="U182" s="1"/>
      <c r="V182" s="5">
        <f t="shared" ref="V182:V187" si="47">IF(T$12=0,0,T182/T$12)</f>
        <v>1.8191732942472311E-2</v>
      </c>
      <c r="W182" s="1"/>
      <c r="X182" s="1">
        <f t="shared" ref="X182:X187" si="48">+P182-T182</f>
        <v>-174411.69</v>
      </c>
      <c r="Y182" s="1"/>
      <c r="Z182" s="5">
        <f t="shared" ref="Z182:Z187" si="49">IF(T182=0,0,X182/T182)</f>
        <v>-0.69292654437968559</v>
      </c>
    </row>
    <row r="183" spans="1:26" s="24" customFormat="1" hidden="1" outlineLevel="2" x14ac:dyDescent="0.25">
      <c r="A183" s="26"/>
      <c r="B183" s="11" t="str">
        <f>CONCATENATE("          ", "6381", " - ", "BANK/CREDIT CARD FEES")</f>
        <v xml:space="preserve">          6381 - BANK/CREDIT CARD FEES</v>
      </c>
      <c r="C183" s="11"/>
      <c r="D183" s="7">
        <v>4821.8</v>
      </c>
      <c r="E183" s="2"/>
      <c r="F183" s="6">
        <f t="shared" si="42"/>
        <v>5.9252853929107037E-3</v>
      </c>
      <c r="G183" s="2"/>
      <c r="H183" s="7">
        <v>25506</v>
      </c>
      <c r="I183" s="2"/>
      <c r="J183" s="6">
        <f t="shared" si="43"/>
        <v>2.1485684634020601E-2</v>
      </c>
      <c r="K183" s="2"/>
      <c r="L183" s="7">
        <f t="shared" si="44"/>
        <v>-20684.2</v>
      </c>
      <c r="M183" s="2"/>
      <c r="N183" s="6">
        <f t="shared" si="45"/>
        <v>-0.81095428526621194</v>
      </c>
      <c r="O183" s="11"/>
      <c r="P183" s="7">
        <v>77291.31</v>
      </c>
      <c r="Q183" s="2"/>
      <c r="R183" s="6">
        <f t="shared" si="46"/>
        <v>9.7036821403310939E-3</v>
      </c>
      <c r="S183" s="2"/>
      <c r="T183" s="7">
        <v>251703</v>
      </c>
      <c r="U183" s="2"/>
      <c r="V183" s="6">
        <f t="shared" si="47"/>
        <v>1.8191732942472311E-2</v>
      </c>
      <c r="W183" s="2"/>
      <c r="X183" s="7">
        <f t="shared" si="48"/>
        <v>-174411.69</v>
      </c>
      <c r="Y183" s="2"/>
      <c r="Z183" s="6">
        <f t="shared" si="49"/>
        <v>-0.69292654437968559</v>
      </c>
    </row>
    <row r="184" spans="1:26" s="25" customFormat="1" outlineLevel="1" collapsed="1" x14ac:dyDescent="0.25">
      <c r="A184" s="27"/>
      <c r="B184" s="13" t="str">
        <f>CONCATENATE("     ","Depreciation                                      ")</f>
        <v xml:space="preserve">     Depreciation                                      </v>
      </c>
      <c r="C184" s="13"/>
      <c r="D184" s="1">
        <f>SUM(OSRRefD22_5x_0)</f>
        <v>77647.64</v>
      </c>
      <c r="E184" s="1"/>
      <c r="F184" s="5">
        <f t="shared" si="42"/>
        <v>9.5417567523744001E-2</v>
      </c>
      <c r="G184" s="1"/>
      <c r="H184" s="1">
        <f>SUM(OSRRefH22_5x_0)</f>
        <v>77087</v>
      </c>
      <c r="I184" s="1"/>
      <c r="J184" s="5">
        <f t="shared" si="43"/>
        <v>6.4936366791450872E-2</v>
      </c>
      <c r="K184" s="1"/>
      <c r="L184" s="1">
        <f t="shared" si="44"/>
        <v>560.63999999999942</v>
      </c>
      <c r="M184" s="1"/>
      <c r="N184" s="5">
        <f t="shared" si="45"/>
        <v>7.2728216171338801E-3</v>
      </c>
      <c r="O184" s="13"/>
      <c r="P184" s="1">
        <f>SUM(OSRRefP22_5x_0)</f>
        <v>701600.61</v>
      </c>
      <c r="Q184" s="1"/>
      <c r="R184" s="5">
        <f t="shared" si="46"/>
        <v>8.8083761407361336E-2</v>
      </c>
      <c r="S184" s="1"/>
      <c r="T184" s="1">
        <f>SUM(OSRRefT22_5x_0)</f>
        <v>697843</v>
      </c>
      <c r="U184" s="1"/>
      <c r="V184" s="5">
        <f t="shared" si="47"/>
        <v>5.0436321743378927E-2</v>
      </c>
      <c r="W184" s="1"/>
      <c r="X184" s="1">
        <f t="shared" si="48"/>
        <v>3757.609999999986</v>
      </c>
      <c r="Y184" s="1"/>
      <c r="Z184" s="5">
        <f t="shared" si="49"/>
        <v>5.3846065662333589E-3</v>
      </c>
    </row>
    <row r="185" spans="1:26" s="24" customFormat="1" hidden="1" outlineLevel="2" x14ac:dyDescent="0.25">
      <c r="A185" s="26"/>
      <c r="B185" s="11" t="str">
        <f>CONCATENATE("          ", "6321", " - ", "BUILDING DEPRECIATION")</f>
        <v xml:space="preserve">          6321 - BUILDING DEPRECIATION</v>
      </c>
      <c r="C185" s="11"/>
      <c r="D185" s="7">
        <v>45060.52</v>
      </c>
      <c r="E185" s="2"/>
      <c r="F185" s="6">
        <f t="shared" si="42"/>
        <v>5.5372773850628519E-2</v>
      </c>
      <c r="G185" s="2"/>
      <c r="H185" s="7"/>
      <c r="I185" s="2"/>
      <c r="J185" s="6">
        <f t="shared" si="43"/>
        <v>0</v>
      </c>
      <c r="K185" s="2"/>
      <c r="L185" s="7">
        <f t="shared" si="44"/>
        <v>45060.52</v>
      </c>
      <c r="M185" s="2"/>
      <c r="N185" s="6">
        <f t="shared" si="45"/>
        <v>0</v>
      </c>
      <c r="O185" s="11"/>
      <c r="P185" s="7">
        <v>406328.87</v>
      </c>
      <c r="Q185" s="2"/>
      <c r="R185" s="6">
        <f t="shared" si="46"/>
        <v>5.1013318300853157E-2</v>
      </c>
      <c r="S185" s="2"/>
      <c r="T185" s="7"/>
      <c r="U185" s="2"/>
      <c r="V185" s="6">
        <f t="shared" si="47"/>
        <v>0</v>
      </c>
      <c r="W185" s="2"/>
      <c r="X185" s="7">
        <f t="shared" si="48"/>
        <v>406328.87</v>
      </c>
      <c r="Y185" s="2"/>
      <c r="Z185" s="6">
        <f t="shared" si="49"/>
        <v>0</v>
      </c>
    </row>
    <row r="186" spans="1:26" s="24" customFormat="1" hidden="1" outlineLevel="2" x14ac:dyDescent="0.25">
      <c r="A186" s="26"/>
      <c r="B186" s="11" t="str">
        <f>CONCATENATE("          ", "6322", " - ", "EQUIPMENT DEPRECIATION EXPENSE")</f>
        <v xml:space="preserve">          6322 - EQUIPMENT DEPRECIATION EXPENSE</v>
      </c>
      <c r="C186" s="11"/>
      <c r="D186" s="7">
        <v>32587.119999999999</v>
      </c>
      <c r="E186" s="2"/>
      <c r="F186" s="6">
        <f t="shared" si="42"/>
        <v>4.0044793673115482E-2</v>
      </c>
      <c r="G186" s="2"/>
      <c r="H186" s="7">
        <v>76537</v>
      </c>
      <c r="I186" s="2"/>
      <c r="J186" s="6">
        <f t="shared" si="43"/>
        <v>6.4473059077630152E-2</v>
      </c>
      <c r="K186" s="2"/>
      <c r="L186" s="7">
        <f t="shared" si="44"/>
        <v>-43949.880000000005</v>
      </c>
      <c r="M186" s="2"/>
      <c r="N186" s="6">
        <f t="shared" si="45"/>
        <v>-0.57423050289402522</v>
      </c>
      <c r="O186" s="11"/>
      <c r="P186" s="7">
        <v>295271.74</v>
      </c>
      <c r="Q186" s="2"/>
      <c r="R186" s="6">
        <f t="shared" si="46"/>
        <v>3.7070443106508172E-2</v>
      </c>
      <c r="S186" s="2"/>
      <c r="T186" s="7">
        <v>692893</v>
      </c>
      <c r="U186" s="2"/>
      <c r="V186" s="6">
        <f t="shared" si="47"/>
        <v>5.0078562487171262E-2</v>
      </c>
      <c r="W186" s="2"/>
      <c r="X186" s="7">
        <f t="shared" si="48"/>
        <v>-397621.26</v>
      </c>
      <c r="Y186" s="2"/>
      <c r="Z186" s="6">
        <f t="shared" si="49"/>
        <v>-0.57385665607821124</v>
      </c>
    </row>
    <row r="187" spans="1:26" s="24" customFormat="1" hidden="1" outlineLevel="2" x14ac:dyDescent="0.25">
      <c r="A187" s="26"/>
      <c r="B187" s="11" t="str">
        <f>CONCATENATE("          ", "6326", " - ", "VEHICLES DEPRECIATION EXPENSE")</f>
        <v xml:space="preserve">          6326 - VEHICLES DEPRECIATION EXPENSE</v>
      </c>
      <c r="C187" s="11"/>
      <c r="D187" s="7"/>
      <c r="E187" s="2"/>
      <c r="F187" s="6">
        <f t="shared" si="42"/>
        <v>0</v>
      </c>
      <c r="G187" s="2"/>
      <c r="H187" s="7">
        <v>550</v>
      </c>
      <c r="I187" s="2"/>
      <c r="J187" s="6">
        <f t="shared" si="43"/>
        <v>4.6330771382072181E-4</v>
      </c>
      <c r="K187" s="2"/>
      <c r="L187" s="7">
        <f t="shared" si="44"/>
        <v>-550</v>
      </c>
      <c r="M187" s="2"/>
      <c r="N187" s="6">
        <f t="shared" si="45"/>
        <v>-1</v>
      </c>
      <c r="O187" s="11"/>
      <c r="P187" s="7"/>
      <c r="Q187" s="2"/>
      <c r="R187" s="6">
        <f t="shared" si="46"/>
        <v>0</v>
      </c>
      <c r="S187" s="2"/>
      <c r="T187" s="7">
        <v>4950</v>
      </c>
      <c r="U187" s="2"/>
      <c r="V187" s="6">
        <f t="shared" si="47"/>
        <v>3.5775925620766514E-4</v>
      </c>
      <c r="W187" s="2"/>
      <c r="X187" s="7">
        <f t="shared" si="48"/>
        <v>-4950</v>
      </c>
      <c r="Y187" s="2"/>
      <c r="Z187" s="6">
        <f t="shared" si="49"/>
        <v>-1</v>
      </c>
    </row>
    <row r="188" spans="1:26" s="25" customFormat="1" outlineLevel="1" collapsed="1" x14ac:dyDescent="0.25">
      <c r="A188" s="27"/>
      <c r="B188" s="13" t="str">
        <f>CONCATENATE("     ","Discounts and Markdowns                           ")</f>
        <v xml:space="preserve">     Discounts and Markdowns                           </v>
      </c>
      <c r="C188" s="13"/>
      <c r="D188" s="1">
        <f>SUM(OSRRefD22_6x_0)</f>
        <v>0</v>
      </c>
      <c r="E188" s="1"/>
      <c r="F188" s="5">
        <f t="shared" ref="F188:F190" si="50">IF(D$12=0,0,D188/D$12)</f>
        <v>0</v>
      </c>
      <c r="G188" s="1"/>
      <c r="H188" s="1">
        <f>SUM(OSRRefH22_6x_0)</f>
        <v>30398</v>
      </c>
      <c r="I188" s="1"/>
      <c r="J188" s="5">
        <f t="shared" ref="J188:J190" si="51">IF(H$12=0,0,H188/H$12)</f>
        <v>2.560659615404055E-2</v>
      </c>
      <c r="K188" s="1"/>
      <c r="L188" s="1">
        <f t="shared" ref="L188:L190" si="52">+D188-H188</f>
        <v>-30398</v>
      </c>
      <c r="M188" s="1"/>
      <c r="N188" s="5">
        <f t="shared" ref="N188:N190" si="53">IF(H188=0,0,L188/H188)</f>
        <v>-1</v>
      </c>
      <c r="O188" s="13"/>
      <c r="P188" s="1">
        <f>SUM(OSRRefP22_6x_0)</f>
        <v>0</v>
      </c>
      <c r="Q188" s="1"/>
      <c r="R188" s="5">
        <f t="shared" ref="R188:R190" si="54">IF(P$12=0,0,P188/P$12)</f>
        <v>0</v>
      </c>
      <c r="S188" s="1"/>
      <c r="T188" s="1">
        <f>SUM(OSRRefT22_6x_0)</f>
        <v>277798</v>
      </c>
      <c r="U188" s="1"/>
      <c r="V188" s="5">
        <f t="shared" ref="V188:V190" si="55">IF(T$12=0,0,T188/T$12)</f>
        <v>2.0077738556763022E-2</v>
      </c>
      <c r="W188" s="1"/>
      <c r="X188" s="1">
        <f t="shared" ref="X188:X190" si="56">+P188-T188</f>
        <v>-277798</v>
      </c>
      <c r="Y188" s="1"/>
      <c r="Z188" s="5">
        <f t="shared" ref="Z188:Z190" si="57">IF(T188=0,0,X188/T188)</f>
        <v>-1</v>
      </c>
    </row>
    <row r="189" spans="1:26" s="24" customFormat="1" hidden="1" outlineLevel="2" x14ac:dyDescent="0.25">
      <c r="A189" s="26"/>
      <c r="B189" s="11" t="str">
        <f>CONCATENATE("          ", "6382", " - ", "DISCOUNTS/MARK DOWNS")</f>
        <v xml:space="preserve">          6382 - DISCOUNTS/MARK DOWNS</v>
      </c>
      <c r="C189" s="11"/>
      <c r="D189" s="7">
        <v>0</v>
      </c>
      <c r="E189" s="2"/>
      <c r="F189" s="6">
        <f t="shared" si="50"/>
        <v>0</v>
      </c>
      <c r="G189" s="2"/>
      <c r="H189" s="7">
        <v>30398</v>
      </c>
      <c r="I189" s="2"/>
      <c r="J189" s="6">
        <f t="shared" si="51"/>
        <v>2.560659615404055E-2</v>
      </c>
      <c r="K189" s="2"/>
      <c r="L189" s="7">
        <f t="shared" si="52"/>
        <v>-30398</v>
      </c>
      <c r="M189" s="2"/>
      <c r="N189" s="6">
        <f t="shared" si="53"/>
        <v>-1</v>
      </c>
      <c r="O189" s="11"/>
      <c r="P189" s="7">
        <v>0</v>
      </c>
      <c r="Q189" s="2"/>
      <c r="R189" s="6">
        <f t="shared" si="54"/>
        <v>0</v>
      </c>
      <c r="S189" s="2"/>
      <c r="T189" s="7">
        <v>277798</v>
      </c>
      <c r="U189" s="2"/>
      <c r="V189" s="6">
        <f t="shared" si="55"/>
        <v>2.0077738556763022E-2</v>
      </c>
      <c r="W189" s="2"/>
      <c r="X189" s="7">
        <f t="shared" si="56"/>
        <v>-277798</v>
      </c>
      <c r="Y189" s="2"/>
      <c r="Z189" s="6">
        <f t="shared" si="57"/>
        <v>-1</v>
      </c>
    </row>
    <row r="190" spans="1:26" s="24" customFormat="1" hidden="1" outlineLevel="2" x14ac:dyDescent="0.25">
      <c r="A190" s="26"/>
      <c r="B190" s="11" t="str">
        <f>CONCATENATE("          ", "9175", " - ", "EARNED DISCOUNTS")</f>
        <v xml:space="preserve">          9175 - EARNED DISCOUNTS</v>
      </c>
      <c r="C190" s="11"/>
      <c r="D190" s="7">
        <v>0</v>
      </c>
      <c r="E190" s="2"/>
      <c r="F190" s="6">
        <f t="shared" si="50"/>
        <v>0</v>
      </c>
      <c r="G190" s="2"/>
      <c r="H190" s="7"/>
      <c r="I190" s="2"/>
      <c r="J190" s="6">
        <f t="shared" si="51"/>
        <v>0</v>
      </c>
      <c r="K190" s="2"/>
      <c r="L190" s="7">
        <f t="shared" si="52"/>
        <v>0</v>
      </c>
      <c r="M190" s="2"/>
      <c r="N190" s="6">
        <f t="shared" si="53"/>
        <v>0</v>
      </c>
      <c r="O190" s="11"/>
      <c r="P190" s="7">
        <v>0</v>
      </c>
      <c r="Q190" s="2"/>
      <c r="R190" s="6">
        <f t="shared" si="54"/>
        <v>0</v>
      </c>
      <c r="S190" s="2"/>
      <c r="T190" s="7"/>
      <c r="U190" s="2"/>
      <c r="V190" s="6">
        <f t="shared" si="55"/>
        <v>0</v>
      </c>
      <c r="W190" s="2"/>
      <c r="X190" s="7">
        <f t="shared" si="56"/>
        <v>0</v>
      </c>
      <c r="Y190" s="2"/>
      <c r="Z190" s="6">
        <f t="shared" si="57"/>
        <v>0</v>
      </c>
    </row>
    <row r="191" spans="1:26" s="25" customFormat="1" outlineLevel="1" collapsed="1" x14ac:dyDescent="0.25">
      <c r="A191" s="27"/>
      <c r="B191" s="13" t="str">
        <f>CONCATENATE("     ","Donations                                         ")</f>
        <v xml:space="preserve">     Donations                                         </v>
      </c>
      <c r="C191" s="13"/>
      <c r="D191" s="1">
        <f>SUM(OSRRefD22_7x_0)</f>
        <v>7337.33</v>
      </c>
      <c r="E191" s="1"/>
      <c r="F191" s="5">
        <f t="shared" ref="F191:F193" si="58">IF(D$12=0,0,D191/D$12)</f>
        <v>9.0165030221007695E-3</v>
      </c>
      <c r="G191" s="1"/>
      <c r="H191" s="1">
        <f>SUM(OSRRefH22_7x_0)</f>
        <v>14773</v>
      </c>
      <c r="I191" s="1"/>
      <c r="J191" s="5">
        <f t="shared" ref="J191:J193" si="59">IF(H$12=0,0,H191/H$12)</f>
        <v>1.2444445193224588E-2</v>
      </c>
      <c r="K191" s="1"/>
      <c r="L191" s="1">
        <f t="shared" ref="L191:L193" si="60">+D191-H191</f>
        <v>-7435.67</v>
      </c>
      <c r="M191" s="1"/>
      <c r="N191" s="5">
        <f t="shared" ref="N191:N193" si="61">IF(H191=0,0,L191/H191)</f>
        <v>-0.50332836932241254</v>
      </c>
      <c r="O191" s="13"/>
      <c r="P191" s="1">
        <f>SUM(OSRRefP22_7x_0)</f>
        <v>50979.76</v>
      </c>
      <c r="Q191" s="1"/>
      <c r="R191" s="5">
        <f t="shared" ref="R191:R193" si="62">IF(P$12=0,0,P191/P$12)</f>
        <v>6.4003493617893845E-3</v>
      </c>
      <c r="S191" s="1"/>
      <c r="T191" s="1">
        <f>SUM(OSRRefT22_7x_0)</f>
        <v>115184</v>
      </c>
      <c r="U191" s="1"/>
      <c r="V191" s="5">
        <f t="shared" ref="V191:V193" si="63">IF(T$12=0,0,T191/T$12)</f>
        <v>8.3248772054593332E-3</v>
      </c>
      <c r="W191" s="1"/>
      <c r="X191" s="1">
        <f t="shared" ref="X191:X193" si="64">+P191-T191</f>
        <v>-64204.24</v>
      </c>
      <c r="Y191" s="1"/>
      <c r="Z191" s="5">
        <f t="shared" ref="Z191:Z193" si="65">IF(T191=0,0,X191/T191)</f>
        <v>-0.55740588970690375</v>
      </c>
    </row>
    <row r="192" spans="1:26" s="24" customFormat="1" hidden="1" outlineLevel="2" x14ac:dyDescent="0.25">
      <c r="A192" s="26"/>
      <c r="B192" s="11" t="str">
        <f>CONCATENATE("          ", "6395", " - ", "DONATION-OFF CAMPUS")</f>
        <v xml:space="preserve">          6395 - DONATION-OFF CAMPUS</v>
      </c>
      <c r="C192" s="11"/>
      <c r="D192" s="7"/>
      <c r="E192" s="2"/>
      <c r="F192" s="6">
        <f t="shared" si="58"/>
        <v>0</v>
      </c>
      <c r="G192" s="2"/>
      <c r="H192" s="7"/>
      <c r="I192" s="2"/>
      <c r="J192" s="6">
        <f t="shared" si="59"/>
        <v>0</v>
      </c>
      <c r="K192" s="2"/>
      <c r="L192" s="7">
        <f t="shared" si="60"/>
        <v>0</v>
      </c>
      <c r="M192" s="2"/>
      <c r="N192" s="6">
        <f t="shared" si="61"/>
        <v>0</v>
      </c>
      <c r="O192" s="11"/>
      <c r="P192" s="7"/>
      <c r="Q192" s="2"/>
      <c r="R192" s="6">
        <f t="shared" si="62"/>
        <v>0</v>
      </c>
      <c r="S192" s="2"/>
      <c r="T192" s="7">
        <v>0</v>
      </c>
      <c r="U192" s="2"/>
      <c r="V192" s="6">
        <f t="shared" si="63"/>
        <v>0</v>
      </c>
      <c r="W192" s="2"/>
      <c r="X192" s="7">
        <f t="shared" si="64"/>
        <v>0</v>
      </c>
      <c r="Y192" s="2"/>
      <c r="Z192" s="6">
        <f t="shared" si="65"/>
        <v>0</v>
      </c>
    </row>
    <row r="193" spans="1:26" s="24" customFormat="1" hidden="1" outlineLevel="2" x14ac:dyDescent="0.25">
      <c r="A193" s="26"/>
      <c r="B193" s="11" t="str">
        <f>CONCATENATE("          ", "6399", " - ", "DONATION-ON CAMPUS")</f>
        <v xml:space="preserve">          6399 - DONATION-ON CAMPUS</v>
      </c>
      <c r="C193" s="11"/>
      <c r="D193" s="7">
        <v>7337.33</v>
      </c>
      <c r="E193" s="2"/>
      <c r="F193" s="6">
        <f t="shared" si="58"/>
        <v>9.0165030221007695E-3</v>
      </c>
      <c r="G193" s="2"/>
      <c r="H193" s="7">
        <v>14773</v>
      </c>
      <c r="I193" s="2"/>
      <c r="J193" s="6">
        <f t="shared" si="59"/>
        <v>1.2444445193224588E-2</v>
      </c>
      <c r="K193" s="2"/>
      <c r="L193" s="7">
        <f t="shared" si="60"/>
        <v>-7435.67</v>
      </c>
      <c r="M193" s="2"/>
      <c r="N193" s="6">
        <f t="shared" si="61"/>
        <v>-0.50332836932241254</v>
      </c>
      <c r="O193" s="11"/>
      <c r="P193" s="7">
        <v>50979.76</v>
      </c>
      <c r="Q193" s="2"/>
      <c r="R193" s="6">
        <f t="shared" si="62"/>
        <v>6.4003493617893845E-3</v>
      </c>
      <c r="S193" s="2"/>
      <c r="T193" s="7">
        <v>115184</v>
      </c>
      <c r="U193" s="2"/>
      <c r="V193" s="6">
        <f t="shared" si="63"/>
        <v>8.3248772054593332E-3</v>
      </c>
      <c r="W193" s="2"/>
      <c r="X193" s="7">
        <f t="shared" si="64"/>
        <v>-64204.24</v>
      </c>
      <c r="Y193" s="2"/>
      <c r="Z193" s="6">
        <f t="shared" si="65"/>
        <v>-0.55740588970690375</v>
      </c>
    </row>
    <row r="194" spans="1:26" s="25" customFormat="1" outlineLevel="1" collapsed="1" x14ac:dyDescent="0.25">
      <c r="A194" s="27"/>
      <c r="B194" s="13" t="str">
        <f>CONCATENATE("     ","Employees' Appreciation                           ")</f>
        <v xml:space="preserve">     Employees' Appreciation                           </v>
      </c>
      <c r="C194" s="13"/>
      <c r="D194" s="1">
        <f>SUM(OSRRefD22_8x_0)</f>
        <v>0</v>
      </c>
      <c r="E194" s="1"/>
      <c r="F194" s="5">
        <f t="shared" ref="F194:F200" si="66">IF(D$12=0,0,D194/D$12)</f>
        <v>0</v>
      </c>
      <c r="G194" s="1"/>
      <c r="H194" s="1">
        <f>SUM(OSRRefH22_8x_0)</f>
        <v>740</v>
      </c>
      <c r="I194" s="1"/>
      <c r="J194" s="5">
        <f t="shared" ref="J194:J200" si="67">IF(H$12=0,0,H194/H$12)</f>
        <v>6.2335946950424395E-4</v>
      </c>
      <c r="K194" s="1"/>
      <c r="L194" s="1">
        <f t="shared" ref="L194:L200" si="68">+D194-H194</f>
        <v>-740</v>
      </c>
      <c r="M194" s="1"/>
      <c r="N194" s="5">
        <f t="shared" ref="N194:N200" si="69">IF(H194=0,0,L194/H194)</f>
        <v>-1</v>
      </c>
      <c r="O194" s="13"/>
      <c r="P194" s="1">
        <f>SUM(OSRRefP22_8x_0)</f>
        <v>196.03</v>
      </c>
      <c r="Q194" s="1"/>
      <c r="R194" s="5">
        <f t="shared" ref="R194:R200" si="70">IF(P$12=0,0,P194/P$12)</f>
        <v>2.4610953158500021E-5</v>
      </c>
      <c r="S194" s="1"/>
      <c r="T194" s="1">
        <f>SUM(OSRRefT22_8x_0)</f>
        <v>6710</v>
      </c>
      <c r="U194" s="1"/>
      <c r="V194" s="5">
        <f t="shared" ref="V194:V200" si="71">IF(T$12=0,0,T194/T$12)</f>
        <v>4.849625473037239E-4</v>
      </c>
      <c r="W194" s="1"/>
      <c r="X194" s="1">
        <f t="shared" ref="X194:X200" si="72">+P194-T194</f>
        <v>-6513.97</v>
      </c>
      <c r="Y194" s="1"/>
      <c r="Z194" s="5">
        <f t="shared" ref="Z194:Z200" si="73">IF(T194=0,0,X194/T194)</f>
        <v>-0.97078539493293592</v>
      </c>
    </row>
    <row r="195" spans="1:26" s="24" customFormat="1" hidden="1" outlineLevel="2" x14ac:dyDescent="0.25">
      <c r="A195" s="26"/>
      <c r="B195" s="11" t="str">
        <f>CONCATENATE("          ", "6277", " - ", "EMPLOYEE APPRECIATION")</f>
        <v xml:space="preserve">          6277 - EMPLOYEE APPRECIATION</v>
      </c>
      <c r="C195" s="11"/>
      <c r="D195" s="7"/>
      <c r="E195" s="2"/>
      <c r="F195" s="6">
        <f t="shared" si="66"/>
        <v>0</v>
      </c>
      <c r="G195" s="2"/>
      <c r="H195" s="7">
        <v>740</v>
      </c>
      <c r="I195" s="2"/>
      <c r="J195" s="6">
        <f t="shared" si="67"/>
        <v>6.2335946950424395E-4</v>
      </c>
      <c r="K195" s="2"/>
      <c r="L195" s="7">
        <f t="shared" si="68"/>
        <v>-740</v>
      </c>
      <c r="M195" s="2"/>
      <c r="N195" s="6">
        <f t="shared" si="69"/>
        <v>-1</v>
      </c>
      <c r="O195" s="11"/>
      <c r="P195" s="7">
        <v>196.03</v>
      </c>
      <c r="Q195" s="2"/>
      <c r="R195" s="6">
        <f t="shared" si="70"/>
        <v>2.4610953158500021E-5</v>
      </c>
      <c r="S195" s="2"/>
      <c r="T195" s="7">
        <v>6710</v>
      </c>
      <c r="U195" s="2"/>
      <c r="V195" s="6">
        <f t="shared" si="71"/>
        <v>4.849625473037239E-4</v>
      </c>
      <c r="W195" s="2"/>
      <c r="X195" s="7">
        <f t="shared" si="72"/>
        <v>-6513.97</v>
      </c>
      <c r="Y195" s="2"/>
      <c r="Z195" s="6">
        <f t="shared" si="73"/>
        <v>-0.97078539493293592</v>
      </c>
    </row>
    <row r="196" spans="1:26" s="25" customFormat="1" outlineLevel="1" collapsed="1" x14ac:dyDescent="0.25">
      <c r="A196" s="27"/>
      <c r="B196" s="13" t="str">
        <f>CONCATENATE("     ","Equipment Rental                                  ")</f>
        <v xml:space="preserve">     Equipment Rental                                  </v>
      </c>
      <c r="C196" s="13"/>
      <c r="D196" s="1">
        <f>SUM(OSRRefD22_9x_0)</f>
        <v>2177.06</v>
      </c>
      <c r="E196" s="1"/>
      <c r="F196" s="5">
        <f t="shared" si="66"/>
        <v>2.6752876140632492E-3</v>
      </c>
      <c r="G196" s="1"/>
      <c r="H196" s="1">
        <f>SUM(OSRRefH22_9x_0)</f>
        <v>4170.3333333333303</v>
      </c>
      <c r="I196" s="1"/>
      <c r="J196" s="5">
        <f t="shared" si="67"/>
        <v>3.5129956409763918E-3</v>
      </c>
      <c r="K196" s="1"/>
      <c r="L196" s="1">
        <f t="shared" si="68"/>
        <v>-1993.2733333333304</v>
      </c>
      <c r="M196" s="1"/>
      <c r="N196" s="5">
        <f t="shared" si="69"/>
        <v>-0.47796499080808852</v>
      </c>
      <c r="O196" s="13"/>
      <c r="P196" s="1">
        <f>SUM(OSRRefP22_9x_0)</f>
        <v>23325.11</v>
      </c>
      <c r="Q196" s="1"/>
      <c r="R196" s="5">
        <f t="shared" si="70"/>
        <v>2.928394580558386E-3</v>
      </c>
      <c r="S196" s="1"/>
      <c r="T196" s="1">
        <f>SUM(OSRRefT22_9x_0)</f>
        <v>37073</v>
      </c>
      <c r="U196" s="1"/>
      <c r="V196" s="5">
        <f t="shared" si="71"/>
        <v>2.6794361425023778E-3</v>
      </c>
      <c r="W196" s="1"/>
      <c r="X196" s="1">
        <f t="shared" si="72"/>
        <v>-13747.89</v>
      </c>
      <c r="Y196" s="1"/>
      <c r="Z196" s="5">
        <f t="shared" si="73"/>
        <v>-0.37083295120438053</v>
      </c>
    </row>
    <row r="197" spans="1:26" s="24" customFormat="1" hidden="1" outlineLevel="2" x14ac:dyDescent="0.25">
      <c r="A197" s="26"/>
      <c r="B197" s="11" t="str">
        <f>CONCATENATE("          ", "6351", " - ", "EQUIPMENT RENTAL")</f>
        <v xml:space="preserve">          6351 - EQUIPMENT RENTAL</v>
      </c>
      <c r="C197" s="11"/>
      <c r="D197" s="7">
        <v>2177.06</v>
      </c>
      <c r="E197" s="2"/>
      <c r="F197" s="6">
        <f t="shared" si="66"/>
        <v>2.6752876140632492E-3</v>
      </c>
      <c r="G197" s="2"/>
      <c r="H197" s="7">
        <v>4170.3333333333303</v>
      </c>
      <c r="I197" s="2"/>
      <c r="J197" s="6">
        <f t="shared" si="67"/>
        <v>3.5129956409763918E-3</v>
      </c>
      <c r="K197" s="2"/>
      <c r="L197" s="7">
        <f t="shared" si="68"/>
        <v>-1993.2733333333304</v>
      </c>
      <c r="M197" s="2"/>
      <c r="N197" s="6">
        <f t="shared" si="69"/>
        <v>-0.47796499080808852</v>
      </c>
      <c r="O197" s="11"/>
      <c r="P197" s="7">
        <v>23325.11</v>
      </c>
      <c r="Q197" s="2"/>
      <c r="R197" s="6">
        <f t="shared" si="70"/>
        <v>2.928394580558386E-3</v>
      </c>
      <c r="S197" s="2"/>
      <c r="T197" s="7">
        <v>37073</v>
      </c>
      <c r="U197" s="2"/>
      <c r="V197" s="6">
        <f t="shared" si="71"/>
        <v>2.6794361425023778E-3</v>
      </c>
      <c r="W197" s="2"/>
      <c r="X197" s="7">
        <f t="shared" si="72"/>
        <v>-13747.89</v>
      </c>
      <c r="Y197" s="2"/>
      <c r="Z197" s="6">
        <f t="shared" si="73"/>
        <v>-0.37083295120438053</v>
      </c>
    </row>
    <row r="198" spans="1:26" s="25" customFormat="1" outlineLevel="1" collapsed="1" x14ac:dyDescent="0.25">
      <c r="A198" s="27"/>
      <c r="B198" s="13" t="str">
        <f>CONCATENATE("     ","Freight out/Postage                               ")</f>
        <v xml:space="preserve">     Freight out/Postage                               </v>
      </c>
      <c r="C198" s="13"/>
      <c r="D198" s="1">
        <f>SUM(OSRRefD22_10x_0)</f>
        <v>-1278.8600000000006</v>
      </c>
      <c r="E198" s="1"/>
      <c r="F198" s="5">
        <f t="shared" si="66"/>
        <v>-1.5715314773689878E-3</v>
      </c>
      <c r="G198" s="1"/>
      <c r="H198" s="1">
        <f>SUM(OSRRefH22_10x_0)</f>
        <v>-12707</v>
      </c>
      <c r="I198" s="1"/>
      <c r="J198" s="5">
        <f t="shared" si="67"/>
        <v>-1.0704092944581658E-2</v>
      </c>
      <c r="K198" s="1"/>
      <c r="L198" s="1">
        <f t="shared" si="68"/>
        <v>11428.14</v>
      </c>
      <c r="M198" s="1"/>
      <c r="N198" s="5">
        <f t="shared" si="69"/>
        <v>-0.89935783426457849</v>
      </c>
      <c r="O198" s="13"/>
      <c r="P198" s="1">
        <f>SUM(OSRRefP22_10x_0)</f>
        <v>-32645.829999999987</v>
      </c>
      <c r="Q198" s="1"/>
      <c r="R198" s="5">
        <f t="shared" si="70"/>
        <v>-4.0985818137548053E-3</v>
      </c>
      <c r="S198" s="1"/>
      <c r="T198" s="1">
        <f>SUM(OSRRefT22_10x_0)</f>
        <v>33846</v>
      </c>
      <c r="U198" s="1"/>
      <c r="V198" s="5">
        <f t="shared" si="71"/>
        <v>2.4462060172938658E-3</v>
      </c>
      <c r="W198" s="1"/>
      <c r="X198" s="1">
        <f t="shared" si="72"/>
        <v>-66491.829999999987</v>
      </c>
      <c r="Y198" s="1"/>
      <c r="Z198" s="5">
        <f t="shared" si="73"/>
        <v>-1.9645402706375934</v>
      </c>
    </row>
    <row r="199" spans="1:26" s="24" customFormat="1" hidden="1" outlineLevel="2" x14ac:dyDescent="0.25">
      <c r="A199" s="26"/>
      <c r="B199" s="11" t="str">
        <f>CONCATENATE("          ", "6305", " - ", "FREIGHT OUT")</f>
        <v xml:space="preserve">          6305 - FREIGHT OUT</v>
      </c>
      <c r="C199" s="11"/>
      <c r="D199" s="7">
        <v>18140.46</v>
      </c>
      <c r="E199" s="2"/>
      <c r="F199" s="6">
        <f t="shared" si="66"/>
        <v>2.2291966207366728E-2</v>
      </c>
      <c r="G199" s="2"/>
      <c r="H199" s="7">
        <v>7263</v>
      </c>
      <c r="I199" s="2"/>
      <c r="J199" s="6">
        <f t="shared" si="67"/>
        <v>6.1181889554180044E-3</v>
      </c>
      <c r="K199" s="2"/>
      <c r="L199" s="7">
        <f t="shared" si="68"/>
        <v>10877.46</v>
      </c>
      <c r="M199" s="2"/>
      <c r="N199" s="6">
        <f t="shared" si="69"/>
        <v>1.4976538620404791</v>
      </c>
      <c r="O199" s="11"/>
      <c r="P199" s="7">
        <v>181086.92</v>
      </c>
      <c r="Q199" s="2"/>
      <c r="R199" s="6">
        <f t="shared" si="70"/>
        <v>2.2734896218624911E-2</v>
      </c>
      <c r="S199" s="2"/>
      <c r="T199" s="7">
        <v>56026</v>
      </c>
      <c r="U199" s="2"/>
      <c r="V199" s="6">
        <f t="shared" si="71"/>
        <v>4.0492565834930605E-3</v>
      </c>
      <c r="W199" s="2"/>
      <c r="X199" s="7">
        <f t="shared" si="72"/>
        <v>125060.92000000001</v>
      </c>
      <c r="Y199" s="2"/>
      <c r="Z199" s="6">
        <f t="shared" si="73"/>
        <v>2.2321943383429126</v>
      </c>
    </row>
    <row r="200" spans="1:26" s="24" customFormat="1" hidden="1" outlineLevel="2" x14ac:dyDescent="0.25">
      <c r="A200" s="26"/>
      <c r="B200" s="11" t="str">
        <f>CONCATENATE("          ", "6307", " - ", "POSTAGE")</f>
        <v xml:space="preserve">          6307 - POSTAGE</v>
      </c>
      <c r="C200" s="11"/>
      <c r="D200" s="7">
        <v>-19419.32</v>
      </c>
      <c r="E200" s="2"/>
      <c r="F200" s="6">
        <f t="shared" si="66"/>
        <v>-2.3863497684735717E-2</v>
      </c>
      <c r="G200" s="2"/>
      <c r="H200" s="7">
        <v>-19970</v>
      </c>
      <c r="I200" s="2"/>
      <c r="J200" s="6">
        <f t="shared" si="67"/>
        <v>-1.6822281899999663E-2</v>
      </c>
      <c r="K200" s="2"/>
      <c r="L200" s="7">
        <f t="shared" si="68"/>
        <v>550.68000000000029</v>
      </c>
      <c r="M200" s="2"/>
      <c r="N200" s="6">
        <f t="shared" si="69"/>
        <v>-2.7575363044566866E-2</v>
      </c>
      <c r="O200" s="11"/>
      <c r="P200" s="7">
        <v>-213732.75</v>
      </c>
      <c r="Q200" s="2"/>
      <c r="R200" s="6">
        <f t="shared" si="70"/>
        <v>-2.6833478032379714E-2</v>
      </c>
      <c r="S200" s="2"/>
      <c r="T200" s="7">
        <v>-22180</v>
      </c>
      <c r="U200" s="2"/>
      <c r="V200" s="6">
        <f t="shared" si="71"/>
        <v>-1.6030505661991945E-3</v>
      </c>
      <c r="W200" s="2"/>
      <c r="X200" s="7">
        <f t="shared" si="72"/>
        <v>-191552.75</v>
      </c>
      <c r="Y200" s="2"/>
      <c r="Z200" s="6">
        <f t="shared" si="73"/>
        <v>8.636282687105501</v>
      </c>
    </row>
    <row r="201" spans="1:26" s="25" customFormat="1" outlineLevel="1" collapsed="1" x14ac:dyDescent="0.25">
      <c r="A201" s="27"/>
      <c r="B201" s="13" t="str">
        <f>CONCATENATE("     ","General                                           ")</f>
        <v xml:space="preserve">     General                                           </v>
      </c>
      <c r="C201" s="13"/>
      <c r="D201" s="1">
        <f>SUM(OSRRefD22_11x_0)</f>
        <v>1537.69</v>
      </c>
      <c r="E201" s="1"/>
      <c r="F201" s="5">
        <f t="shared" ref="F201:F204" si="74">IF(D$12=0,0,D201/D$12)</f>
        <v>1.8895956065836119E-3</v>
      </c>
      <c r="G201" s="1"/>
      <c r="H201" s="1">
        <f>SUM(OSRRefH22_11x_0)</f>
        <v>1060</v>
      </c>
      <c r="I201" s="1"/>
      <c r="J201" s="5">
        <f t="shared" ref="J201:J204" si="75">IF(H$12=0,0,H201/H$12)</f>
        <v>8.9292032118175476E-4</v>
      </c>
      <c r="K201" s="1"/>
      <c r="L201" s="1">
        <f t="shared" ref="L201:L204" si="76">+D201-H201</f>
        <v>477.69000000000005</v>
      </c>
      <c r="M201" s="1"/>
      <c r="N201" s="5">
        <f t="shared" ref="N201:N204" si="77">IF(H201=0,0,L201/H201)</f>
        <v>0.45065094339622647</v>
      </c>
      <c r="O201" s="13"/>
      <c r="P201" s="1">
        <f>SUM(OSRRefP22_11x_0)</f>
        <v>20934.73</v>
      </c>
      <c r="Q201" s="1"/>
      <c r="R201" s="5">
        <f t="shared" ref="R201:R204" si="78">IF(P$12=0,0,P201/P$12)</f>
        <v>2.628289850613912E-3</v>
      </c>
      <c r="S201" s="1"/>
      <c r="T201" s="1">
        <f>SUM(OSRRefT22_11x_0)</f>
        <v>28020</v>
      </c>
      <c r="U201" s="1"/>
      <c r="V201" s="5">
        <f t="shared" ref="V201:V204" si="79">IF(T$12=0,0,T201/T$12)</f>
        <v>2.0251342139270259E-3</v>
      </c>
      <c r="W201" s="1"/>
      <c r="X201" s="1">
        <f t="shared" ref="X201:X204" si="80">+P201-T201</f>
        <v>-7085.27</v>
      </c>
      <c r="Y201" s="1"/>
      <c r="Z201" s="5">
        <f t="shared" ref="Z201:Z204" si="81">IF(T201=0,0,X201/T201)</f>
        <v>-0.25286473947180588</v>
      </c>
    </row>
    <row r="202" spans="1:26" s="24" customFormat="1" hidden="1" outlineLevel="2" x14ac:dyDescent="0.25">
      <c r="A202" s="26"/>
      <c r="B202" s="11" t="str">
        <f>CONCATENATE("          ", "6269", " - ", "ENTERTAINMENT")</f>
        <v xml:space="preserve">          6269 - ENTERTAINMENT</v>
      </c>
      <c r="C202" s="11"/>
      <c r="D202" s="7"/>
      <c r="E202" s="2"/>
      <c r="F202" s="6">
        <f t="shared" si="74"/>
        <v>0</v>
      </c>
      <c r="G202" s="2"/>
      <c r="H202" s="7">
        <v>0</v>
      </c>
      <c r="I202" s="2"/>
      <c r="J202" s="6">
        <f t="shared" si="75"/>
        <v>0</v>
      </c>
      <c r="K202" s="2"/>
      <c r="L202" s="7">
        <f t="shared" si="76"/>
        <v>0</v>
      </c>
      <c r="M202" s="2"/>
      <c r="N202" s="6">
        <f t="shared" si="77"/>
        <v>0</v>
      </c>
      <c r="O202" s="11"/>
      <c r="P202" s="7"/>
      <c r="Q202" s="2"/>
      <c r="R202" s="6">
        <f t="shared" si="78"/>
        <v>0</v>
      </c>
      <c r="S202" s="2"/>
      <c r="T202" s="7">
        <v>1500</v>
      </c>
      <c r="U202" s="2"/>
      <c r="V202" s="6">
        <f t="shared" si="79"/>
        <v>1.084118958205046E-4</v>
      </c>
      <c r="W202" s="2"/>
      <c r="X202" s="7">
        <f t="shared" si="80"/>
        <v>-1500</v>
      </c>
      <c r="Y202" s="2"/>
      <c r="Z202" s="6">
        <f t="shared" si="81"/>
        <v>-1</v>
      </c>
    </row>
    <row r="203" spans="1:26" s="24" customFormat="1" hidden="1" outlineLevel="2" x14ac:dyDescent="0.25">
      <c r="A203" s="26"/>
      <c r="B203" s="11" t="str">
        <f>CONCATENATE("          ", "6276", " - ", "PROPERTY TAX")</f>
        <v xml:space="preserve">          6276 - PROPERTY TAX</v>
      </c>
      <c r="C203" s="11"/>
      <c r="D203" s="7"/>
      <c r="E203" s="2"/>
      <c r="F203" s="6">
        <f t="shared" si="74"/>
        <v>0</v>
      </c>
      <c r="G203" s="2"/>
      <c r="H203" s="7"/>
      <c r="I203" s="2"/>
      <c r="J203" s="6">
        <f t="shared" si="75"/>
        <v>0</v>
      </c>
      <c r="K203" s="2"/>
      <c r="L203" s="7">
        <f t="shared" si="76"/>
        <v>0</v>
      </c>
      <c r="M203" s="2"/>
      <c r="N203" s="6">
        <f t="shared" si="77"/>
        <v>0</v>
      </c>
      <c r="O203" s="11"/>
      <c r="P203" s="7"/>
      <c r="Q203" s="2"/>
      <c r="R203" s="6">
        <f t="shared" si="78"/>
        <v>0</v>
      </c>
      <c r="S203" s="2"/>
      <c r="T203" s="7">
        <v>150</v>
      </c>
      <c r="U203" s="2"/>
      <c r="V203" s="6">
        <f t="shared" si="79"/>
        <v>1.0841189582050459E-5</v>
      </c>
      <c r="W203" s="2"/>
      <c r="X203" s="7">
        <f t="shared" si="80"/>
        <v>-150</v>
      </c>
      <c r="Y203" s="2"/>
      <c r="Z203" s="6">
        <f t="shared" si="81"/>
        <v>-1</v>
      </c>
    </row>
    <row r="204" spans="1:26" s="24" customFormat="1" hidden="1" outlineLevel="2" x14ac:dyDescent="0.25">
      <c r="A204" s="26"/>
      <c r="B204" s="11" t="str">
        <f>CONCATENATE("          ", "6279", " - ", "GENERAL EXPENSE")</f>
        <v xml:space="preserve">          6279 - GENERAL EXPENSE</v>
      </c>
      <c r="C204" s="11"/>
      <c r="D204" s="7">
        <v>1537.69</v>
      </c>
      <c r="E204" s="2"/>
      <c r="F204" s="6">
        <f t="shared" si="74"/>
        <v>1.8895956065836119E-3</v>
      </c>
      <c r="G204" s="2"/>
      <c r="H204" s="7">
        <v>1060</v>
      </c>
      <c r="I204" s="2"/>
      <c r="J204" s="6">
        <f t="shared" si="75"/>
        <v>8.9292032118175476E-4</v>
      </c>
      <c r="K204" s="2"/>
      <c r="L204" s="7">
        <f t="shared" si="76"/>
        <v>477.69000000000005</v>
      </c>
      <c r="M204" s="2"/>
      <c r="N204" s="6">
        <f t="shared" si="77"/>
        <v>0.45065094339622647</v>
      </c>
      <c r="O204" s="11"/>
      <c r="P204" s="7">
        <v>20934.73</v>
      </c>
      <c r="Q204" s="2"/>
      <c r="R204" s="6">
        <f t="shared" si="78"/>
        <v>2.628289850613912E-3</v>
      </c>
      <c r="S204" s="2"/>
      <c r="T204" s="7">
        <v>26370</v>
      </c>
      <c r="U204" s="2"/>
      <c r="V204" s="6">
        <f t="shared" si="79"/>
        <v>1.9058811285244707E-3</v>
      </c>
      <c r="W204" s="2"/>
      <c r="X204" s="7">
        <f t="shared" si="80"/>
        <v>-5435.27</v>
      </c>
      <c r="Y204" s="2"/>
      <c r="Z204" s="6">
        <f t="shared" si="81"/>
        <v>-0.20611566173682216</v>
      </c>
    </row>
    <row r="205" spans="1:26" s="25" customFormat="1" outlineLevel="1" collapsed="1" x14ac:dyDescent="0.25">
      <c r="A205" s="27"/>
      <c r="B205" s="13" t="str">
        <f>CONCATENATE("     ","Insurance                                         ")</f>
        <v xml:space="preserve">     Insurance                                         </v>
      </c>
      <c r="C205" s="13"/>
      <c r="D205" s="1">
        <f>SUM(OSRRefD22_12x_0)</f>
        <v>8563.32</v>
      </c>
      <c r="E205" s="1"/>
      <c r="F205" s="5">
        <f t="shared" ref="F205:F211" si="82">IF(D$12=0,0,D205/D$12)</f>
        <v>1.0523065019457481E-2</v>
      </c>
      <c r="G205" s="1"/>
      <c r="H205" s="1">
        <f>SUM(OSRRefH22_12x_0)</f>
        <v>9321</v>
      </c>
      <c r="I205" s="1"/>
      <c r="J205" s="5">
        <f t="shared" ref="J205:J211" si="83">IF(H$12=0,0,H205/H$12)</f>
        <v>7.8518021827689959E-3</v>
      </c>
      <c r="K205" s="1"/>
      <c r="L205" s="1">
        <f t="shared" ref="L205:L211" si="84">+D205-H205</f>
        <v>-757.68000000000029</v>
      </c>
      <c r="M205" s="1"/>
      <c r="N205" s="5">
        <f t="shared" ref="N205:N211" si="85">IF(H205=0,0,L205/H205)</f>
        <v>-8.128741551335697E-2</v>
      </c>
      <c r="O205" s="13"/>
      <c r="P205" s="1">
        <f>SUM(OSRRefP22_12x_0)</f>
        <v>83181.88</v>
      </c>
      <c r="Q205" s="1"/>
      <c r="R205" s="5">
        <f t="shared" ref="R205:R211" si="86">IF(P$12=0,0,P205/P$12)</f>
        <v>1.044322477333046E-2</v>
      </c>
      <c r="S205" s="1"/>
      <c r="T205" s="1">
        <f>SUM(OSRRefT22_12x_0)</f>
        <v>83889</v>
      </c>
      <c r="U205" s="1"/>
      <c r="V205" s="5">
        <f t="shared" ref="V205:V211" si="87">IF(T$12=0,0,T205/T$12)</f>
        <v>6.06304368565754E-3</v>
      </c>
      <c r="W205" s="1"/>
      <c r="X205" s="1">
        <f t="shared" ref="X205:X211" si="88">+P205-T205</f>
        <v>-707.11999999999534</v>
      </c>
      <c r="Y205" s="1"/>
      <c r="Z205" s="5">
        <f t="shared" ref="Z205:Z211" si="89">IF(T205=0,0,X205/T205)</f>
        <v>-8.4292338685643571E-3</v>
      </c>
    </row>
    <row r="206" spans="1:26" s="24" customFormat="1" hidden="1" outlineLevel="2" x14ac:dyDescent="0.25">
      <c r="A206" s="26"/>
      <c r="B206" s="11" t="str">
        <f>CONCATENATE("          ", "6314", " - ", "LIABILITY INSURANCE")</f>
        <v xml:space="preserve">          6314 - LIABILITY INSURANCE</v>
      </c>
      <c r="C206" s="11"/>
      <c r="D206" s="7">
        <v>8563.32</v>
      </c>
      <c r="E206" s="2"/>
      <c r="F206" s="6">
        <f t="shared" si="82"/>
        <v>1.0523065019457481E-2</v>
      </c>
      <c r="G206" s="2"/>
      <c r="H206" s="7">
        <v>9321</v>
      </c>
      <c r="I206" s="2"/>
      <c r="J206" s="6">
        <f t="shared" si="83"/>
        <v>7.8518021827689959E-3</v>
      </c>
      <c r="K206" s="2"/>
      <c r="L206" s="7">
        <f t="shared" si="84"/>
        <v>-757.68000000000029</v>
      </c>
      <c r="M206" s="2"/>
      <c r="N206" s="6">
        <f t="shared" si="85"/>
        <v>-8.128741551335697E-2</v>
      </c>
      <c r="O206" s="11"/>
      <c r="P206" s="7">
        <v>83181.88</v>
      </c>
      <c r="Q206" s="2"/>
      <c r="R206" s="6">
        <f t="shared" si="86"/>
        <v>1.044322477333046E-2</v>
      </c>
      <c r="S206" s="2"/>
      <c r="T206" s="7">
        <v>83889</v>
      </c>
      <c r="U206" s="2"/>
      <c r="V206" s="6">
        <f t="shared" si="87"/>
        <v>6.06304368565754E-3</v>
      </c>
      <c r="W206" s="2"/>
      <c r="X206" s="7">
        <f t="shared" si="88"/>
        <v>-707.11999999999534</v>
      </c>
      <c r="Y206" s="2"/>
      <c r="Z206" s="6">
        <f t="shared" si="89"/>
        <v>-8.4292338685643571E-3</v>
      </c>
    </row>
    <row r="207" spans="1:26" s="25" customFormat="1" outlineLevel="1" collapsed="1" x14ac:dyDescent="0.25">
      <c r="A207" s="27"/>
      <c r="B207" s="13" t="str">
        <f>CONCATENATE("     ","Interest                                          ")</f>
        <v xml:space="preserve">     Interest                                          </v>
      </c>
      <c r="C207" s="13"/>
      <c r="D207" s="1">
        <f>SUM(OSRRefD22_13x_0)</f>
        <v>11554</v>
      </c>
      <c r="E207" s="1"/>
      <c r="F207" s="5">
        <f t="shared" si="82"/>
        <v>1.4198172348436323E-2</v>
      </c>
      <c r="G207" s="1"/>
      <c r="H207" s="1">
        <f>SUM(OSRRefH22_13x_0)</f>
        <v>11554</v>
      </c>
      <c r="I207" s="1"/>
      <c r="J207" s="5">
        <f t="shared" si="83"/>
        <v>9.7328315008811273E-3</v>
      </c>
      <c r="K207" s="1"/>
      <c r="L207" s="1">
        <f t="shared" si="84"/>
        <v>0</v>
      </c>
      <c r="M207" s="1"/>
      <c r="N207" s="5">
        <f t="shared" si="85"/>
        <v>0</v>
      </c>
      <c r="O207" s="13"/>
      <c r="P207" s="1">
        <f>SUM(OSRRefP22_13x_0)</f>
        <v>103237</v>
      </c>
      <c r="Q207" s="1"/>
      <c r="R207" s="5">
        <f t="shared" si="86"/>
        <v>1.2961082340580864E-2</v>
      </c>
      <c r="S207" s="1"/>
      <c r="T207" s="1">
        <f>SUM(OSRRefT22_13x_0)</f>
        <v>103986</v>
      </c>
      <c r="U207" s="1"/>
      <c r="V207" s="5">
        <f t="shared" si="87"/>
        <v>7.5155462658606604E-3</v>
      </c>
      <c r="W207" s="1"/>
      <c r="X207" s="1">
        <f t="shared" si="88"/>
        <v>-749</v>
      </c>
      <c r="Y207" s="1"/>
      <c r="Z207" s="5">
        <f t="shared" si="89"/>
        <v>-7.2028926970938399E-3</v>
      </c>
    </row>
    <row r="208" spans="1:26" s="24" customFormat="1" hidden="1" outlineLevel="2" x14ac:dyDescent="0.25">
      <c r="A208" s="26"/>
      <c r="B208" s="11" t="str">
        <f>CONCATENATE("          ", "6401", " - ", "INTEREST EXPENSE")</f>
        <v xml:space="preserve">          6401 - INTEREST EXPENSE</v>
      </c>
      <c r="C208" s="11"/>
      <c r="D208" s="7">
        <v>11554</v>
      </c>
      <c r="E208" s="2"/>
      <c r="F208" s="6">
        <f t="shared" si="82"/>
        <v>1.4198172348436323E-2</v>
      </c>
      <c r="G208" s="2"/>
      <c r="H208" s="7">
        <v>11554</v>
      </c>
      <c r="I208" s="2"/>
      <c r="J208" s="6">
        <f t="shared" si="83"/>
        <v>9.7328315008811273E-3</v>
      </c>
      <c r="K208" s="2"/>
      <c r="L208" s="7">
        <f t="shared" si="84"/>
        <v>0</v>
      </c>
      <c r="M208" s="2"/>
      <c r="N208" s="6">
        <f t="shared" si="85"/>
        <v>0</v>
      </c>
      <c r="O208" s="11"/>
      <c r="P208" s="7">
        <v>103237</v>
      </c>
      <c r="Q208" s="2"/>
      <c r="R208" s="6">
        <f t="shared" si="86"/>
        <v>1.2961082340580864E-2</v>
      </c>
      <c r="S208" s="2"/>
      <c r="T208" s="7">
        <v>103986</v>
      </c>
      <c r="U208" s="2"/>
      <c r="V208" s="6">
        <f t="shared" si="87"/>
        <v>7.5155462658606604E-3</v>
      </c>
      <c r="W208" s="2"/>
      <c r="X208" s="7">
        <f t="shared" si="88"/>
        <v>-749</v>
      </c>
      <c r="Y208" s="2"/>
      <c r="Z208" s="6">
        <f t="shared" si="89"/>
        <v>-7.2028926970938399E-3</v>
      </c>
    </row>
    <row r="209" spans="1:26" s="25" customFormat="1" outlineLevel="1" collapsed="1" x14ac:dyDescent="0.25">
      <c r="A209" s="27"/>
      <c r="B209" s="13" t="str">
        <f>CONCATENATE("     ","Inventory Adjustment                              ")</f>
        <v xml:space="preserve">     Inventory Adjustment                              </v>
      </c>
      <c r="C209" s="13"/>
      <c r="D209" s="1">
        <f>SUM(OSRRefD22_14x_0)</f>
        <v>3350</v>
      </c>
      <c r="E209" s="1"/>
      <c r="F209" s="5">
        <f t="shared" si="82"/>
        <v>4.1166589377931179E-3</v>
      </c>
      <c r="G209" s="1"/>
      <c r="H209" s="1">
        <f>SUM(OSRRefH22_14x_0)</f>
        <v>4350</v>
      </c>
      <c r="I209" s="1"/>
      <c r="J209" s="5">
        <f t="shared" si="83"/>
        <v>3.6643428274911634E-3</v>
      </c>
      <c r="K209" s="1"/>
      <c r="L209" s="1">
        <f t="shared" si="84"/>
        <v>-1000</v>
      </c>
      <c r="M209" s="1"/>
      <c r="N209" s="5">
        <f t="shared" si="85"/>
        <v>-0.22988505747126436</v>
      </c>
      <c r="O209" s="13"/>
      <c r="P209" s="1">
        <f>SUM(OSRRefP22_14x_0)</f>
        <v>35150</v>
      </c>
      <c r="Q209" s="1"/>
      <c r="R209" s="5">
        <f t="shared" si="86"/>
        <v>4.4129725221714825E-3</v>
      </c>
      <c r="S209" s="1"/>
      <c r="T209" s="1">
        <f>SUM(OSRRefT22_14x_0)</f>
        <v>44150</v>
      </c>
      <c r="U209" s="1"/>
      <c r="V209" s="5">
        <f t="shared" si="87"/>
        <v>3.1909234669835183E-3</v>
      </c>
      <c r="W209" s="1"/>
      <c r="X209" s="1">
        <f t="shared" si="88"/>
        <v>-9000</v>
      </c>
      <c r="Y209" s="1"/>
      <c r="Z209" s="5">
        <f t="shared" si="89"/>
        <v>-0.20385050962627407</v>
      </c>
    </row>
    <row r="210" spans="1:26" s="24" customFormat="1" hidden="1" outlineLevel="2" x14ac:dyDescent="0.25">
      <c r="A210" s="26"/>
      <c r="B210" s="11" t="str">
        <f>CONCATENATE("          ", "6408", " - ", "INVENTORY ADJUSTMENT")</f>
        <v xml:space="preserve">          6408 - INVENTORY ADJUSTMENT</v>
      </c>
      <c r="C210" s="11"/>
      <c r="D210" s="7">
        <v>3350</v>
      </c>
      <c r="E210" s="2"/>
      <c r="F210" s="6">
        <f t="shared" si="82"/>
        <v>4.1166589377931179E-3</v>
      </c>
      <c r="G210" s="2"/>
      <c r="H210" s="7">
        <v>4350</v>
      </c>
      <c r="I210" s="2"/>
      <c r="J210" s="6">
        <f t="shared" si="83"/>
        <v>3.6643428274911634E-3</v>
      </c>
      <c r="K210" s="2"/>
      <c r="L210" s="7">
        <f t="shared" si="84"/>
        <v>-1000</v>
      </c>
      <c r="M210" s="2"/>
      <c r="N210" s="6">
        <f t="shared" si="85"/>
        <v>-0.22988505747126436</v>
      </c>
      <c r="O210" s="11"/>
      <c r="P210" s="7">
        <v>35150</v>
      </c>
      <c r="Q210" s="2"/>
      <c r="R210" s="6">
        <f t="shared" si="86"/>
        <v>4.4129725221714825E-3</v>
      </c>
      <c r="S210" s="2"/>
      <c r="T210" s="7">
        <v>44150</v>
      </c>
      <c r="U210" s="2"/>
      <c r="V210" s="6">
        <f t="shared" si="87"/>
        <v>3.1909234669835183E-3</v>
      </c>
      <c r="W210" s="2"/>
      <c r="X210" s="7">
        <f t="shared" si="88"/>
        <v>-9000</v>
      </c>
      <c r="Y210" s="2"/>
      <c r="Z210" s="6">
        <f t="shared" si="89"/>
        <v>-0.20385050962627407</v>
      </c>
    </row>
    <row r="211" spans="1:26" s="24" customFormat="1" hidden="1" outlineLevel="2" x14ac:dyDescent="0.25">
      <c r="A211" s="26"/>
      <c r="B211" s="11" t="str">
        <f>CONCATENATE("          ", "7741", " - ", "INV. SHRINKAGE-LOGO GIFTS")</f>
        <v xml:space="preserve">          7741 - INV. SHRINKAGE-LOGO GIFTS</v>
      </c>
      <c r="C211" s="11"/>
      <c r="D211" s="7"/>
      <c r="E211" s="2"/>
      <c r="F211" s="6">
        <f t="shared" si="82"/>
        <v>0</v>
      </c>
      <c r="G211" s="2"/>
      <c r="H211" s="7"/>
      <c r="I211" s="2"/>
      <c r="J211" s="6">
        <f t="shared" si="83"/>
        <v>0</v>
      </c>
      <c r="K211" s="2"/>
      <c r="L211" s="7">
        <f t="shared" si="84"/>
        <v>0</v>
      </c>
      <c r="M211" s="2"/>
      <c r="N211" s="6">
        <f t="shared" si="85"/>
        <v>0</v>
      </c>
      <c r="O211" s="11"/>
      <c r="P211" s="7">
        <v>0</v>
      </c>
      <c r="Q211" s="2"/>
      <c r="R211" s="6">
        <f t="shared" si="86"/>
        <v>0</v>
      </c>
      <c r="S211" s="2"/>
      <c r="T211" s="7"/>
      <c r="U211" s="2"/>
      <c r="V211" s="6">
        <f t="shared" si="87"/>
        <v>0</v>
      </c>
      <c r="W211" s="2"/>
      <c r="X211" s="7">
        <f t="shared" si="88"/>
        <v>0</v>
      </c>
      <c r="Y211" s="2"/>
      <c r="Z211" s="6">
        <f t="shared" si="89"/>
        <v>0</v>
      </c>
    </row>
    <row r="212" spans="1:26" s="25" customFormat="1" outlineLevel="1" collapsed="1" x14ac:dyDescent="0.25">
      <c r="A212" s="27"/>
      <c r="B212" s="13" t="str">
        <f>CONCATENATE("     ","Professional Services                             ")</f>
        <v xml:space="preserve">     Professional Services                             </v>
      </c>
      <c r="C212" s="13"/>
      <c r="D212" s="1">
        <f>SUM(OSRRefD22_15x_0)</f>
        <v>0</v>
      </c>
      <c r="E212" s="1"/>
      <c r="F212" s="5">
        <f t="shared" ref="F212:F222" si="90">IF(D$12=0,0,D212/D$12)</f>
        <v>0</v>
      </c>
      <c r="G212" s="1"/>
      <c r="H212" s="1">
        <f>SUM(OSRRefH22_15x_0)</f>
        <v>0</v>
      </c>
      <c r="I212" s="1"/>
      <c r="J212" s="5">
        <f t="shared" ref="J212:J222" si="91">IF(H$12=0,0,H212/H$12)</f>
        <v>0</v>
      </c>
      <c r="K212" s="1"/>
      <c r="L212" s="1">
        <f t="shared" ref="L212:L222" si="92">+D212-H212</f>
        <v>0</v>
      </c>
      <c r="M212" s="1"/>
      <c r="N212" s="5">
        <f t="shared" ref="N212:N222" si="93">IF(H212=0,0,L212/H212)</f>
        <v>0</v>
      </c>
      <c r="O212" s="13"/>
      <c r="P212" s="1">
        <f>SUM(OSRRefP22_15x_0)</f>
        <v>0</v>
      </c>
      <c r="Q212" s="1"/>
      <c r="R212" s="5">
        <f t="shared" ref="R212:R222" si="94">IF(P$12=0,0,P212/P$12)</f>
        <v>0</v>
      </c>
      <c r="S212" s="1"/>
      <c r="T212" s="1">
        <f>SUM(OSRRefT22_15x_0)</f>
        <v>7050</v>
      </c>
      <c r="U212" s="1"/>
      <c r="V212" s="5">
        <f t="shared" ref="V212:V222" si="95">IF(T$12=0,0,T212/T$12)</f>
        <v>5.0953591035637154E-4</v>
      </c>
      <c r="W212" s="1"/>
      <c r="X212" s="1">
        <f t="shared" ref="X212:X222" si="96">+P212-T212</f>
        <v>-7050</v>
      </c>
      <c r="Y212" s="1"/>
      <c r="Z212" s="5">
        <f t="shared" ref="Z212:Z222" si="97">IF(T212=0,0,X212/T212)</f>
        <v>-1</v>
      </c>
    </row>
    <row r="213" spans="1:26" s="24" customFormat="1" hidden="1" outlineLevel="2" x14ac:dyDescent="0.25">
      <c r="A213" s="26"/>
      <c r="B213" s="11" t="str">
        <f>CONCATENATE("          ", "6336", " - ", "PROFESSIONAL SERVICES")</f>
        <v xml:space="preserve">          6336 - PROFESSIONAL SERVICES</v>
      </c>
      <c r="C213" s="11"/>
      <c r="D213" s="7"/>
      <c r="E213" s="2"/>
      <c r="F213" s="6">
        <f t="shared" si="90"/>
        <v>0</v>
      </c>
      <c r="G213" s="2"/>
      <c r="H213" s="7">
        <v>0</v>
      </c>
      <c r="I213" s="2"/>
      <c r="J213" s="6">
        <f t="shared" si="91"/>
        <v>0</v>
      </c>
      <c r="K213" s="2"/>
      <c r="L213" s="7">
        <f t="shared" si="92"/>
        <v>0</v>
      </c>
      <c r="M213" s="2"/>
      <c r="N213" s="6">
        <f t="shared" si="93"/>
        <v>0</v>
      </c>
      <c r="O213" s="11"/>
      <c r="P213" s="7"/>
      <c r="Q213" s="2"/>
      <c r="R213" s="6">
        <f t="shared" si="94"/>
        <v>0</v>
      </c>
      <c r="S213" s="2"/>
      <c r="T213" s="7">
        <v>7050</v>
      </c>
      <c r="U213" s="2"/>
      <c r="V213" s="6">
        <f t="shared" si="95"/>
        <v>5.0953591035637154E-4</v>
      </c>
      <c r="W213" s="2"/>
      <c r="X213" s="7">
        <f t="shared" si="96"/>
        <v>-7050</v>
      </c>
      <c r="Y213" s="2"/>
      <c r="Z213" s="6">
        <f t="shared" si="97"/>
        <v>-1</v>
      </c>
    </row>
    <row r="214" spans="1:26" s="25" customFormat="1" outlineLevel="1" collapsed="1" x14ac:dyDescent="0.25">
      <c r="A214" s="27"/>
      <c r="B214" s="13" t="str">
        <f>CONCATENATE("     ","R/H Commissions                                   ")</f>
        <v xml:space="preserve">     R/H Commissions                                   </v>
      </c>
      <c r="C214" s="13"/>
      <c r="D214" s="1">
        <f>SUM(OSRRefD22_16x_0)</f>
        <v>6756.75</v>
      </c>
      <c r="E214" s="1"/>
      <c r="F214" s="5">
        <f t="shared" si="90"/>
        <v>8.3030553068458648E-3</v>
      </c>
      <c r="G214" s="1"/>
      <c r="H214" s="1">
        <f>SUM(OSRRefH22_16x_0)</f>
        <v>40097</v>
      </c>
      <c r="I214" s="1"/>
      <c r="J214" s="5">
        <f t="shared" si="91"/>
        <v>3.3776817092853607E-2</v>
      </c>
      <c r="K214" s="1"/>
      <c r="L214" s="1">
        <f t="shared" si="92"/>
        <v>-33340.25</v>
      </c>
      <c r="M214" s="1"/>
      <c r="N214" s="5">
        <f t="shared" si="93"/>
        <v>-0.83148988702396687</v>
      </c>
      <c r="O214" s="13"/>
      <c r="P214" s="1">
        <f>SUM(OSRRefP22_16x_0)</f>
        <v>59012.6</v>
      </c>
      <c r="Q214" s="1"/>
      <c r="R214" s="5">
        <f t="shared" si="94"/>
        <v>7.408847290523381E-3</v>
      </c>
      <c r="S214" s="1"/>
      <c r="T214" s="1">
        <f>SUM(OSRRefT22_16x_0)</f>
        <v>253999</v>
      </c>
      <c r="U214" s="1"/>
      <c r="V214" s="5">
        <f t="shared" si="95"/>
        <v>1.8357675417674899E-2</v>
      </c>
      <c r="W214" s="1"/>
      <c r="X214" s="1">
        <f t="shared" si="96"/>
        <v>-194986.4</v>
      </c>
      <c r="Y214" s="1"/>
      <c r="Z214" s="5">
        <f t="shared" si="97"/>
        <v>-0.76766601443312765</v>
      </c>
    </row>
    <row r="215" spans="1:26" s="24" customFormat="1" hidden="1" outlineLevel="2" x14ac:dyDescent="0.25">
      <c r="A215" s="26"/>
      <c r="B215" s="11" t="str">
        <f>CONCATENATE("          ", "6387", " - ", "COMMISSION DUE HOUSING")</f>
        <v xml:space="preserve">          6387 - COMMISSION DUE HOUSING</v>
      </c>
      <c r="C215" s="11"/>
      <c r="D215" s="7">
        <v>6756.75</v>
      </c>
      <c r="E215" s="2"/>
      <c r="F215" s="6">
        <f t="shared" si="90"/>
        <v>8.3030553068458648E-3</v>
      </c>
      <c r="G215" s="2"/>
      <c r="H215" s="7">
        <v>40097</v>
      </c>
      <c r="I215" s="2"/>
      <c r="J215" s="6">
        <f t="shared" si="91"/>
        <v>3.3776817092853607E-2</v>
      </c>
      <c r="K215" s="2"/>
      <c r="L215" s="7">
        <f t="shared" si="92"/>
        <v>-33340.25</v>
      </c>
      <c r="M215" s="2"/>
      <c r="N215" s="6">
        <f t="shared" si="93"/>
        <v>-0.83148988702396687</v>
      </c>
      <c r="O215" s="11"/>
      <c r="P215" s="7">
        <v>59012.6</v>
      </c>
      <c r="Q215" s="2"/>
      <c r="R215" s="6">
        <f t="shared" si="94"/>
        <v>7.408847290523381E-3</v>
      </c>
      <c r="S215" s="2"/>
      <c r="T215" s="7">
        <v>253999</v>
      </c>
      <c r="U215" s="2"/>
      <c r="V215" s="6">
        <f t="shared" si="95"/>
        <v>1.8357675417674899E-2</v>
      </c>
      <c r="W215" s="2"/>
      <c r="X215" s="7">
        <f t="shared" si="96"/>
        <v>-194986.4</v>
      </c>
      <c r="Y215" s="2"/>
      <c r="Z215" s="6">
        <f t="shared" si="97"/>
        <v>-0.76766601443312765</v>
      </c>
    </row>
    <row r="216" spans="1:26" s="25" customFormat="1" outlineLevel="1" collapsed="1" x14ac:dyDescent="0.25">
      <c r="A216" s="27"/>
      <c r="B216" s="13" t="str">
        <f>CONCATENATE("     ","Rent                                              ")</f>
        <v xml:space="preserve">     Rent                                              </v>
      </c>
      <c r="C216" s="13"/>
      <c r="D216" s="1">
        <f>SUM(OSRRefD22_17x_0)</f>
        <v>6900</v>
      </c>
      <c r="E216" s="1"/>
      <c r="F216" s="5">
        <f t="shared" si="90"/>
        <v>8.479088558439556E-3</v>
      </c>
      <c r="G216" s="1"/>
      <c r="H216" s="1">
        <f>SUM(OSRRefH22_17x_0)</f>
        <v>8843</v>
      </c>
      <c r="I216" s="1"/>
      <c r="J216" s="5">
        <f t="shared" si="91"/>
        <v>7.4491456605757147E-3</v>
      </c>
      <c r="K216" s="1"/>
      <c r="L216" s="1">
        <f t="shared" si="92"/>
        <v>-1943</v>
      </c>
      <c r="M216" s="1"/>
      <c r="N216" s="5">
        <f t="shared" si="93"/>
        <v>-0.21972181386407327</v>
      </c>
      <c r="O216" s="13"/>
      <c r="P216" s="1">
        <f>SUM(OSRRefP22_17x_0)</f>
        <v>73200</v>
      </c>
      <c r="Q216" s="1"/>
      <c r="R216" s="5">
        <f t="shared" si="94"/>
        <v>9.1900309707810112E-3</v>
      </c>
      <c r="S216" s="1"/>
      <c r="T216" s="1">
        <f>SUM(OSRRefT22_17x_0)</f>
        <v>79588</v>
      </c>
      <c r="U216" s="1"/>
      <c r="V216" s="5">
        <f t="shared" si="95"/>
        <v>5.7521906430415461E-3</v>
      </c>
      <c r="W216" s="1"/>
      <c r="X216" s="1">
        <f t="shared" si="96"/>
        <v>-6388</v>
      </c>
      <c r="Y216" s="1"/>
      <c r="Z216" s="5">
        <f t="shared" si="97"/>
        <v>-8.0263356284867068E-2</v>
      </c>
    </row>
    <row r="217" spans="1:26" s="24" customFormat="1" hidden="1" outlineLevel="2" x14ac:dyDescent="0.25">
      <c r="A217" s="26"/>
      <c r="B217" s="11" t="str">
        <f>CONCATENATE("          ", "6273", " - ", "RENT")</f>
        <v xml:space="preserve">          6273 - RENT</v>
      </c>
      <c r="C217" s="11"/>
      <c r="D217" s="7">
        <v>6900</v>
      </c>
      <c r="E217" s="2"/>
      <c r="F217" s="6">
        <f t="shared" si="90"/>
        <v>8.479088558439556E-3</v>
      </c>
      <c r="G217" s="2"/>
      <c r="H217" s="7">
        <v>8843</v>
      </c>
      <c r="I217" s="2"/>
      <c r="J217" s="6">
        <f t="shared" si="91"/>
        <v>7.4491456605757147E-3</v>
      </c>
      <c r="K217" s="2"/>
      <c r="L217" s="7">
        <f t="shared" si="92"/>
        <v>-1943</v>
      </c>
      <c r="M217" s="2"/>
      <c r="N217" s="6">
        <f t="shared" si="93"/>
        <v>-0.21972181386407327</v>
      </c>
      <c r="O217" s="11"/>
      <c r="P217" s="7">
        <v>73200</v>
      </c>
      <c r="Q217" s="2"/>
      <c r="R217" s="6">
        <f t="shared" si="94"/>
        <v>9.1900309707810112E-3</v>
      </c>
      <c r="S217" s="2"/>
      <c r="T217" s="7">
        <v>79588</v>
      </c>
      <c r="U217" s="2"/>
      <c r="V217" s="6">
        <f t="shared" si="95"/>
        <v>5.7521906430415461E-3</v>
      </c>
      <c r="W217" s="2"/>
      <c r="X217" s="7">
        <f t="shared" si="96"/>
        <v>-6388</v>
      </c>
      <c r="Y217" s="2"/>
      <c r="Z217" s="6">
        <f t="shared" si="97"/>
        <v>-8.0263356284867068E-2</v>
      </c>
    </row>
    <row r="218" spans="1:26" s="25" customFormat="1" outlineLevel="1" collapsed="1" x14ac:dyDescent="0.25">
      <c r="A218" s="27"/>
      <c r="B218" s="13" t="str">
        <f>CONCATENATE("     ","Repair and Maintenance                            ")</f>
        <v xml:space="preserve">     Repair and Maintenance                            </v>
      </c>
      <c r="C218" s="13"/>
      <c r="D218" s="1">
        <f>SUM(OSRRefD22_18x_0)</f>
        <v>46822.47</v>
      </c>
      <c r="E218" s="1"/>
      <c r="F218" s="5">
        <f t="shared" si="90"/>
        <v>5.7537952123895564E-2</v>
      </c>
      <c r="G218" s="1"/>
      <c r="H218" s="1">
        <f>SUM(OSRRefH22_18x_0)</f>
        <v>23003</v>
      </c>
      <c r="I218" s="1"/>
      <c r="J218" s="5">
        <f t="shared" si="91"/>
        <v>1.937721334730557E-2</v>
      </c>
      <c r="K218" s="1"/>
      <c r="L218" s="1">
        <f t="shared" si="92"/>
        <v>23819.47</v>
      </c>
      <c r="M218" s="1"/>
      <c r="N218" s="5">
        <f t="shared" si="93"/>
        <v>1.0354940659913925</v>
      </c>
      <c r="O218" s="13"/>
      <c r="P218" s="1">
        <f>SUM(OSRRefP22_18x_0)</f>
        <v>345157.41000000003</v>
      </c>
      <c r="Q218" s="1"/>
      <c r="R218" s="5">
        <f t="shared" si="94"/>
        <v>4.3333432892002179E-2</v>
      </c>
      <c r="S218" s="1"/>
      <c r="T218" s="1">
        <f>SUM(OSRRefT22_18x_0)</f>
        <v>414765</v>
      </c>
      <c r="U218" s="1"/>
      <c r="V218" s="5">
        <f t="shared" si="95"/>
        <v>2.9976973313327725E-2</v>
      </c>
      <c r="W218" s="1"/>
      <c r="X218" s="1">
        <f t="shared" si="96"/>
        <v>-69607.589999999967</v>
      </c>
      <c r="Y218" s="1"/>
      <c r="Z218" s="5">
        <f t="shared" si="97"/>
        <v>-0.16782416549130222</v>
      </c>
    </row>
    <row r="219" spans="1:26" s="24" customFormat="1" hidden="1" outlineLevel="2" x14ac:dyDescent="0.25">
      <c r="A219" s="26"/>
      <c r="B219" s="11" t="str">
        <f>CONCATENATE("          ", "6371", " - ", "COMPUTER SOFTWARE MAINTENANCE")</f>
        <v xml:space="preserve">          6371 - COMPUTER SOFTWARE MAINTENANCE</v>
      </c>
      <c r="C219" s="11"/>
      <c r="D219" s="7">
        <v>5050</v>
      </c>
      <c r="E219" s="2"/>
      <c r="F219" s="6">
        <f t="shared" si="90"/>
        <v>6.2057097420463421E-3</v>
      </c>
      <c r="G219" s="2"/>
      <c r="H219" s="7"/>
      <c r="I219" s="2"/>
      <c r="J219" s="6">
        <f t="shared" si="91"/>
        <v>0</v>
      </c>
      <c r="K219" s="2"/>
      <c r="L219" s="7">
        <f t="shared" si="92"/>
        <v>5050</v>
      </c>
      <c r="M219" s="2"/>
      <c r="N219" s="6">
        <f t="shared" si="93"/>
        <v>0</v>
      </c>
      <c r="O219" s="11"/>
      <c r="P219" s="7">
        <v>76019.990000000005</v>
      </c>
      <c r="Q219" s="2"/>
      <c r="R219" s="6">
        <f t="shared" si="94"/>
        <v>9.5440718920555018E-3</v>
      </c>
      <c r="S219" s="2"/>
      <c r="T219" s="7">
        <v>226788</v>
      </c>
      <c r="U219" s="2"/>
      <c r="V219" s="6">
        <f t="shared" si="95"/>
        <v>1.6391011352893729E-2</v>
      </c>
      <c r="W219" s="2"/>
      <c r="X219" s="7">
        <f t="shared" si="96"/>
        <v>-150768.01</v>
      </c>
      <c r="Y219" s="2"/>
      <c r="Z219" s="6">
        <f t="shared" si="97"/>
        <v>-0.66479712330458407</v>
      </c>
    </row>
    <row r="220" spans="1:26" s="24" customFormat="1" hidden="1" outlineLevel="2" x14ac:dyDescent="0.25">
      <c r="A220" s="26"/>
      <c r="B220" s="11" t="str">
        <f>CONCATENATE("          ", "6372", " - ", "COMPUTER HARDWARE MAINTENANCE")</f>
        <v xml:space="preserve">          6372 - COMPUTER HARDWARE MAINTENANCE</v>
      </c>
      <c r="C220" s="11"/>
      <c r="D220" s="7">
        <v>100</v>
      </c>
      <c r="E220" s="2"/>
      <c r="F220" s="6">
        <f t="shared" si="90"/>
        <v>1.2288534142666023E-4</v>
      </c>
      <c r="G220" s="2"/>
      <c r="H220" s="7">
        <v>1500</v>
      </c>
      <c r="I220" s="2"/>
      <c r="J220" s="6">
        <f t="shared" si="91"/>
        <v>1.2635664922383322E-3</v>
      </c>
      <c r="K220" s="2"/>
      <c r="L220" s="7">
        <f t="shared" si="92"/>
        <v>-1400</v>
      </c>
      <c r="M220" s="2"/>
      <c r="N220" s="6">
        <f t="shared" si="93"/>
        <v>-0.93333333333333335</v>
      </c>
      <c r="O220" s="11"/>
      <c r="P220" s="7">
        <v>98.85</v>
      </c>
      <c r="Q220" s="2"/>
      <c r="R220" s="6">
        <f t="shared" si="94"/>
        <v>1.2410308216689929E-5</v>
      </c>
      <c r="S220" s="2"/>
      <c r="T220" s="7">
        <v>17020</v>
      </c>
      <c r="U220" s="2"/>
      <c r="V220" s="6">
        <f t="shared" si="95"/>
        <v>1.2301136445766587E-3</v>
      </c>
      <c r="W220" s="2"/>
      <c r="X220" s="7">
        <f t="shared" si="96"/>
        <v>-16921.150000000001</v>
      </c>
      <c r="Y220" s="2"/>
      <c r="Z220" s="6">
        <f t="shared" si="97"/>
        <v>-0.9941921269095183</v>
      </c>
    </row>
    <row r="221" spans="1:26" s="24" customFormat="1" hidden="1" outlineLevel="2" x14ac:dyDescent="0.25">
      <c r="A221" s="26"/>
      <c r="B221" s="11" t="str">
        <f>CONCATENATE("          ", "6373", " - ", "MAINTENANCE CONTRACTS")</f>
        <v xml:space="preserve">          6373 - MAINTENANCE CONTRACTS</v>
      </c>
      <c r="C221" s="11"/>
      <c r="D221" s="7">
        <v>31589.56</v>
      </c>
      <c r="E221" s="2"/>
      <c r="F221" s="6">
        <f t="shared" si="90"/>
        <v>3.8818938661179692E-2</v>
      </c>
      <c r="G221" s="2"/>
      <c r="H221" s="7">
        <v>11098</v>
      </c>
      <c r="I221" s="2"/>
      <c r="J221" s="6">
        <f t="shared" si="91"/>
        <v>9.3487072872406735E-3</v>
      </c>
      <c r="K221" s="2"/>
      <c r="L221" s="7">
        <f t="shared" si="92"/>
        <v>20491.560000000001</v>
      </c>
      <c r="M221" s="2"/>
      <c r="N221" s="6">
        <f t="shared" si="93"/>
        <v>1.8464191746260588</v>
      </c>
      <c r="O221" s="11"/>
      <c r="P221" s="7">
        <v>210332.63</v>
      </c>
      <c r="Q221" s="2"/>
      <c r="R221" s="6">
        <f t="shared" si="94"/>
        <v>2.6406603604724362E-2</v>
      </c>
      <c r="S221" s="2"/>
      <c r="T221" s="7">
        <v>69682</v>
      </c>
      <c r="U221" s="2"/>
      <c r="V221" s="6">
        <f t="shared" si="95"/>
        <v>5.0362384830429339E-3</v>
      </c>
      <c r="W221" s="2"/>
      <c r="X221" s="7">
        <f t="shared" si="96"/>
        <v>140650.63</v>
      </c>
      <c r="Y221" s="2"/>
      <c r="Z221" s="6">
        <f t="shared" si="97"/>
        <v>2.0184643092907781</v>
      </c>
    </row>
    <row r="222" spans="1:26" s="24" customFormat="1" hidden="1" outlineLevel="2" x14ac:dyDescent="0.25">
      <c r="A222" s="26"/>
      <c r="B222" s="11" t="str">
        <f>CONCATENATE("          ", "6375", " - ", "OUTSIDE REPAIRS &amp; MAINTENANCE")</f>
        <v xml:space="preserve">          6375 - OUTSIDE REPAIRS &amp; MAINTENANCE</v>
      </c>
      <c r="C222" s="11"/>
      <c r="D222" s="7">
        <v>10082.91</v>
      </c>
      <c r="E222" s="2"/>
      <c r="F222" s="6">
        <f t="shared" si="90"/>
        <v>1.2390418379242867E-2</v>
      </c>
      <c r="G222" s="2"/>
      <c r="H222" s="7">
        <v>10405</v>
      </c>
      <c r="I222" s="2"/>
      <c r="J222" s="6">
        <f t="shared" si="91"/>
        <v>8.7649395678265647E-3</v>
      </c>
      <c r="K222" s="2"/>
      <c r="L222" s="7">
        <f t="shared" si="92"/>
        <v>-322.09000000000015</v>
      </c>
      <c r="M222" s="2"/>
      <c r="N222" s="6">
        <f t="shared" si="93"/>
        <v>-3.0955309947140811E-2</v>
      </c>
      <c r="O222" s="11"/>
      <c r="P222" s="7">
        <v>58705.94</v>
      </c>
      <c r="Q222" s="2"/>
      <c r="R222" s="6">
        <f t="shared" si="94"/>
        <v>7.370347087005626E-3</v>
      </c>
      <c r="S222" s="2"/>
      <c r="T222" s="7">
        <v>101275</v>
      </c>
      <c r="U222" s="2"/>
      <c r="V222" s="6">
        <f t="shared" si="95"/>
        <v>7.319609832814402E-3</v>
      </c>
      <c r="W222" s="2"/>
      <c r="X222" s="7">
        <f t="shared" si="96"/>
        <v>-42569.06</v>
      </c>
      <c r="Y222" s="2"/>
      <c r="Z222" s="6">
        <f t="shared" si="97"/>
        <v>-0.42033137496914341</v>
      </c>
    </row>
    <row r="223" spans="1:26" s="25" customFormat="1" outlineLevel="1" collapsed="1" x14ac:dyDescent="0.25">
      <c r="A223" s="27"/>
      <c r="B223" s="13" t="str">
        <f>CONCATENATE("     ","Royalty &amp; Commissions                             ")</f>
        <v xml:space="preserve">     Royalty &amp; Commissions                             </v>
      </c>
      <c r="C223" s="13"/>
      <c r="D223" s="1">
        <f>SUM(OSRRefD22_19x_0)</f>
        <v>27.21</v>
      </c>
      <c r="E223" s="1"/>
      <c r="F223" s="5">
        <f t="shared" ref="F223:F227" si="98">IF(D$12=0,0,D223/D$12)</f>
        <v>3.343710140219425E-5</v>
      </c>
      <c r="G223" s="1"/>
      <c r="H223" s="1">
        <f>SUM(OSRRefH22_19x_0)</f>
        <v>12250</v>
      </c>
      <c r="I223" s="1"/>
      <c r="J223" s="5">
        <f t="shared" ref="J223:J227" si="99">IF(H$12=0,0,H223/H$12)</f>
        <v>1.0319126353279712E-2</v>
      </c>
      <c r="K223" s="1"/>
      <c r="L223" s="1">
        <f t="shared" ref="L223:L227" si="100">+D223-H223</f>
        <v>-12222.79</v>
      </c>
      <c r="M223" s="1"/>
      <c r="N223" s="5">
        <f t="shared" ref="N223:N227" si="101">IF(H223=0,0,L223/H223)</f>
        <v>-0.99777877551020411</v>
      </c>
      <c r="O223" s="13"/>
      <c r="P223" s="1">
        <f>SUM(OSRRefP22_19x_0)</f>
        <v>37046.9</v>
      </c>
      <c r="Q223" s="1"/>
      <c r="R223" s="5">
        <f t="shared" ref="R223:R227" si="102">IF(P$12=0,0,P223/P$12)</f>
        <v>4.6511223821233206E-3</v>
      </c>
      <c r="S223" s="1"/>
      <c r="T223" s="1">
        <f>SUM(OSRRefT22_19x_0)</f>
        <v>87991</v>
      </c>
      <c r="U223" s="1"/>
      <c r="V223" s="5">
        <f t="shared" ref="V223:V227" si="103">IF(T$12=0,0,T223/T$12)</f>
        <v>6.3595140834280129E-3</v>
      </c>
      <c r="W223" s="1"/>
      <c r="X223" s="1">
        <f t="shared" ref="X223:X227" si="104">+P223-T223</f>
        <v>-50944.1</v>
      </c>
      <c r="Y223" s="1"/>
      <c r="Z223" s="5">
        <f t="shared" ref="Z223:Z227" si="105">IF(T223=0,0,X223/T223)</f>
        <v>-0.57896944005636941</v>
      </c>
    </row>
    <row r="224" spans="1:26" s="24" customFormat="1" hidden="1" outlineLevel="2" x14ac:dyDescent="0.25">
      <c r="A224" s="26"/>
      <c r="B224" s="11" t="str">
        <f>CONCATENATE("          ", "6252", " - ", "ROYALTY DUE CSTV")</f>
        <v xml:space="preserve">          6252 - ROYALTY DUE CSTV</v>
      </c>
      <c r="C224" s="11"/>
      <c r="D224" s="7"/>
      <c r="E224" s="2"/>
      <c r="F224" s="6">
        <f t="shared" si="98"/>
        <v>0</v>
      </c>
      <c r="G224" s="2"/>
      <c r="H224" s="7">
        <v>1085</v>
      </c>
      <c r="I224" s="2"/>
      <c r="J224" s="6">
        <f t="shared" si="99"/>
        <v>9.1397976271906031E-4</v>
      </c>
      <c r="K224" s="2"/>
      <c r="L224" s="7">
        <f t="shared" si="100"/>
        <v>-1085</v>
      </c>
      <c r="M224" s="2"/>
      <c r="N224" s="6">
        <f t="shared" si="101"/>
        <v>-1</v>
      </c>
      <c r="O224" s="11"/>
      <c r="P224" s="7"/>
      <c r="Q224" s="2"/>
      <c r="R224" s="6">
        <f t="shared" si="102"/>
        <v>0</v>
      </c>
      <c r="S224" s="2"/>
      <c r="T224" s="7">
        <v>9765</v>
      </c>
      <c r="U224" s="2"/>
      <c r="V224" s="6">
        <f t="shared" si="103"/>
        <v>7.0576144179148486E-4</v>
      </c>
      <c r="W224" s="2"/>
      <c r="X224" s="7">
        <f t="shared" si="104"/>
        <v>-9765</v>
      </c>
      <c r="Y224" s="2"/>
      <c r="Z224" s="6">
        <f t="shared" si="105"/>
        <v>-1</v>
      </c>
    </row>
    <row r="225" spans="1:26" s="24" customFormat="1" hidden="1" outlineLevel="2" x14ac:dyDescent="0.25">
      <c r="A225" s="26"/>
      <c r="B225" s="11" t="str">
        <f>CONCATENATE("          ", "6253", " - ", "ROYALTY DUE ATHLETICS-LRG")</f>
        <v xml:space="preserve">          6253 - ROYALTY DUE ATHLETICS-LRG</v>
      </c>
      <c r="C225" s="11"/>
      <c r="D225" s="7"/>
      <c r="E225" s="2"/>
      <c r="F225" s="6">
        <f t="shared" si="98"/>
        <v>0</v>
      </c>
      <c r="G225" s="2"/>
      <c r="H225" s="7">
        <v>4037</v>
      </c>
      <c r="I225" s="2"/>
      <c r="J225" s="6">
        <f t="shared" si="99"/>
        <v>3.4006786194440983E-3</v>
      </c>
      <c r="K225" s="2"/>
      <c r="L225" s="7">
        <f t="shared" si="100"/>
        <v>-4037</v>
      </c>
      <c r="M225" s="2"/>
      <c r="N225" s="6">
        <f t="shared" si="101"/>
        <v>-1</v>
      </c>
      <c r="O225" s="11"/>
      <c r="P225" s="7">
        <v>26197.58</v>
      </c>
      <c r="Q225" s="2"/>
      <c r="R225" s="6">
        <f t="shared" si="102"/>
        <v>3.2890242016326942E-3</v>
      </c>
      <c r="S225" s="2"/>
      <c r="T225" s="7">
        <v>36333</v>
      </c>
      <c r="U225" s="2"/>
      <c r="V225" s="6">
        <f t="shared" si="103"/>
        <v>2.6259529405642623E-3</v>
      </c>
      <c r="W225" s="2"/>
      <c r="X225" s="7">
        <f t="shared" si="104"/>
        <v>-10135.419999999998</v>
      </c>
      <c r="Y225" s="2"/>
      <c r="Z225" s="6">
        <f t="shared" si="105"/>
        <v>-0.27895907301901846</v>
      </c>
    </row>
    <row r="226" spans="1:26" s="24" customFormat="1" hidden="1" outlineLevel="2" x14ac:dyDescent="0.25">
      <c r="A226" s="26"/>
      <c r="B226" s="11" t="str">
        <f>CONCATENATE("          ", "6254", " - ", "ROYALTY &amp; COMMISSIONS")</f>
        <v xml:space="preserve">          6254 - ROYALTY &amp; COMMISSIONS</v>
      </c>
      <c r="C226" s="11"/>
      <c r="D226" s="7"/>
      <c r="E226" s="2"/>
      <c r="F226" s="6">
        <f t="shared" si="98"/>
        <v>0</v>
      </c>
      <c r="G226" s="2"/>
      <c r="H226" s="7">
        <v>1149</v>
      </c>
      <c r="I226" s="2"/>
      <c r="J226" s="6">
        <f t="shared" si="99"/>
        <v>9.6789193305456245E-4</v>
      </c>
      <c r="K226" s="2"/>
      <c r="L226" s="7">
        <f t="shared" si="100"/>
        <v>-1149</v>
      </c>
      <c r="M226" s="2"/>
      <c r="N226" s="6">
        <f t="shared" si="101"/>
        <v>-1</v>
      </c>
      <c r="O226" s="11"/>
      <c r="P226" s="7">
        <v>185.7</v>
      </c>
      <c r="Q226" s="2"/>
      <c r="R226" s="6">
        <f t="shared" si="102"/>
        <v>2.3314053979153464E-5</v>
      </c>
      <c r="S226" s="2"/>
      <c r="T226" s="7">
        <v>10341</v>
      </c>
      <c r="U226" s="2"/>
      <c r="V226" s="6">
        <f t="shared" si="103"/>
        <v>7.4739160978655862E-4</v>
      </c>
      <c r="W226" s="2"/>
      <c r="X226" s="7">
        <f t="shared" si="104"/>
        <v>-10155.299999999999</v>
      </c>
      <c r="Y226" s="2"/>
      <c r="Z226" s="6">
        <f t="shared" si="105"/>
        <v>-0.98204235567159837</v>
      </c>
    </row>
    <row r="227" spans="1:26" s="24" customFormat="1" hidden="1" outlineLevel="2" x14ac:dyDescent="0.25">
      <c r="A227" s="26"/>
      <c r="B227" s="11" t="str">
        <f>CONCATENATE("          ", "6259", " - ", "ROYALTY &amp; COMMISSIONS")</f>
        <v xml:space="preserve">          6259 - ROYALTY &amp; COMMISSIONS</v>
      </c>
      <c r="C227" s="11"/>
      <c r="D227" s="7">
        <v>27.21</v>
      </c>
      <c r="E227" s="2"/>
      <c r="F227" s="6">
        <f t="shared" si="98"/>
        <v>3.343710140219425E-5</v>
      </c>
      <c r="G227" s="2"/>
      <c r="H227" s="7">
        <v>5979</v>
      </c>
      <c r="I227" s="2"/>
      <c r="J227" s="6">
        <f t="shared" si="99"/>
        <v>5.036576038061992E-3</v>
      </c>
      <c r="K227" s="2"/>
      <c r="L227" s="7">
        <f t="shared" si="100"/>
        <v>-5951.79</v>
      </c>
      <c r="M227" s="2"/>
      <c r="N227" s="6">
        <f t="shared" si="101"/>
        <v>-0.99544907175112896</v>
      </c>
      <c r="O227" s="11"/>
      <c r="P227" s="7">
        <v>10663.62</v>
      </c>
      <c r="Q227" s="2"/>
      <c r="R227" s="6">
        <f t="shared" si="102"/>
        <v>1.3387841265114727E-3</v>
      </c>
      <c r="S227" s="2"/>
      <c r="T227" s="7">
        <v>31552</v>
      </c>
      <c r="U227" s="2"/>
      <c r="V227" s="6">
        <f t="shared" si="103"/>
        <v>2.2804080912857071E-3</v>
      </c>
      <c r="W227" s="2"/>
      <c r="X227" s="7">
        <f t="shared" si="104"/>
        <v>-20888.379999999997</v>
      </c>
      <c r="Y227" s="2"/>
      <c r="Z227" s="6">
        <f t="shared" si="105"/>
        <v>-0.66203029918864087</v>
      </c>
    </row>
    <row r="228" spans="1:26" s="25" customFormat="1" outlineLevel="1" collapsed="1" x14ac:dyDescent="0.25">
      <c r="A228" s="27"/>
      <c r="B228" s="13" t="str">
        <f>CONCATENATE("     ","Services                                          ")</f>
        <v xml:space="preserve">     Services                                          </v>
      </c>
      <c r="C228" s="13"/>
      <c r="D228" s="1">
        <f>SUM(OSRRefD22_20x_0)</f>
        <v>17082.769999999997</v>
      </c>
      <c r="E228" s="1"/>
      <c r="F228" s="5">
        <f t="shared" ref="F228:F233" si="106">IF(D$12=0,0,D228/D$12)</f>
        <v>2.0992220239631081E-2</v>
      </c>
      <c r="G228" s="1"/>
      <c r="H228" s="1">
        <f>SUM(OSRRefH22_20x_0)</f>
        <v>33114</v>
      </c>
      <c r="I228" s="1"/>
      <c r="J228" s="5">
        <f t="shared" ref="J228:J233" si="107">IF(H$12=0,0,H228/H$12)</f>
        <v>2.7894493882653422E-2</v>
      </c>
      <c r="K228" s="1"/>
      <c r="L228" s="1">
        <f t="shared" ref="L228:L233" si="108">+D228-H228</f>
        <v>-16031.230000000003</v>
      </c>
      <c r="M228" s="1"/>
      <c r="N228" s="5">
        <f t="shared" ref="N228:N233" si="109">IF(H228=0,0,L228/H228)</f>
        <v>-0.48412242556018614</v>
      </c>
      <c r="O228" s="13"/>
      <c r="P228" s="1">
        <f>SUM(OSRRefP22_20x_0)</f>
        <v>186794.88</v>
      </c>
      <c r="Q228" s="1"/>
      <c r="R228" s="5">
        <f t="shared" ref="R228:R233" si="110">IF(P$12=0,0,P228/P$12)</f>
        <v>2.3451512737477084E-2</v>
      </c>
      <c r="S228" s="1"/>
      <c r="T228" s="1">
        <f>SUM(OSRRefT22_20x_0)</f>
        <v>291533</v>
      </c>
      <c r="U228" s="1"/>
      <c r="V228" s="5">
        <f t="shared" ref="V228:V233" si="111">IF(T$12=0,0,T228/T$12)</f>
        <v>2.1070430149492777E-2</v>
      </c>
      <c r="W228" s="1"/>
      <c r="X228" s="1">
        <f t="shared" ref="X228:X233" si="112">+P228-T228</f>
        <v>-104738.12</v>
      </c>
      <c r="Y228" s="1"/>
      <c r="Z228" s="5">
        <f t="shared" ref="Z228:Z233" si="113">IF(T228=0,0,X228/T228)</f>
        <v>-0.35926677254376005</v>
      </c>
    </row>
    <row r="229" spans="1:26" s="24" customFormat="1" hidden="1" outlineLevel="2" x14ac:dyDescent="0.25">
      <c r="A229" s="26"/>
      <c r="B229" s="11" t="str">
        <f>CONCATENATE("          ", "6282", " - ", "JANITORIAL/EXTERMINATOR EXPENS")</f>
        <v xml:space="preserve">          6282 - JANITORIAL/EXTERMINATOR EXPENS</v>
      </c>
      <c r="C229" s="11"/>
      <c r="D229" s="7">
        <v>4653.21</v>
      </c>
      <c r="E229" s="2"/>
      <c r="F229" s="6">
        <f t="shared" si="106"/>
        <v>5.7181129957994967E-3</v>
      </c>
      <c r="G229" s="2"/>
      <c r="H229" s="7">
        <v>7033</v>
      </c>
      <c r="I229" s="2"/>
      <c r="J229" s="6">
        <f t="shared" si="107"/>
        <v>5.9244420932747935E-3</v>
      </c>
      <c r="K229" s="2"/>
      <c r="L229" s="7">
        <f t="shared" si="108"/>
        <v>-2379.79</v>
      </c>
      <c r="M229" s="2"/>
      <c r="N229" s="6">
        <f t="shared" si="109"/>
        <v>-0.33837480449310392</v>
      </c>
      <c r="O229" s="11"/>
      <c r="P229" s="7">
        <v>29841.1</v>
      </c>
      <c r="Q229" s="2"/>
      <c r="R229" s="6">
        <f t="shared" si="110"/>
        <v>3.7464567377346065E-3</v>
      </c>
      <c r="S229" s="2"/>
      <c r="T229" s="7">
        <v>62715</v>
      </c>
      <c r="U229" s="2"/>
      <c r="V229" s="6">
        <f t="shared" si="111"/>
        <v>4.532701364255297E-3</v>
      </c>
      <c r="W229" s="2"/>
      <c r="X229" s="7">
        <f t="shared" si="112"/>
        <v>-32873.9</v>
      </c>
      <c r="Y229" s="2"/>
      <c r="Z229" s="6">
        <f t="shared" si="113"/>
        <v>-0.52417922347125889</v>
      </c>
    </row>
    <row r="230" spans="1:26" s="24" customFormat="1" hidden="1" outlineLevel="2" x14ac:dyDescent="0.25">
      <c r="A230" s="26"/>
      <c r="B230" s="11" t="str">
        <f>CONCATENATE("          ", "6283", " - ", "PLANT SERVICE")</f>
        <v xml:space="preserve">          6283 - PLANT SERVICE</v>
      </c>
      <c r="C230" s="11"/>
      <c r="D230" s="7"/>
      <c r="E230" s="2"/>
      <c r="F230" s="6">
        <f t="shared" si="106"/>
        <v>0</v>
      </c>
      <c r="G230" s="2"/>
      <c r="H230" s="7">
        <v>0</v>
      </c>
      <c r="I230" s="2"/>
      <c r="J230" s="6">
        <f t="shared" si="107"/>
        <v>0</v>
      </c>
      <c r="K230" s="2"/>
      <c r="L230" s="7">
        <f t="shared" si="108"/>
        <v>0</v>
      </c>
      <c r="M230" s="2"/>
      <c r="N230" s="6">
        <f t="shared" si="109"/>
        <v>0</v>
      </c>
      <c r="O230" s="11"/>
      <c r="P230" s="7">
        <v>171.31</v>
      </c>
      <c r="Q230" s="2"/>
      <c r="R230" s="6">
        <f t="shared" si="110"/>
        <v>2.1507434502793648E-5</v>
      </c>
      <c r="S230" s="2"/>
      <c r="T230" s="7">
        <v>310</v>
      </c>
      <c r="U230" s="2"/>
      <c r="V230" s="6">
        <f t="shared" si="111"/>
        <v>2.2405125136237614E-5</v>
      </c>
      <c r="W230" s="2"/>
      <c r="X230" s="7">
        <f t="shared" si="112"/>
        <v>-138.69</v>
      </c>
      <c r="Y230" s="2"/>
      <c r="Z230" s="6">
        <f t="shared" si="113"/>
        <v>-0.44738709677419353</v>
      </c>
    </row>
    <row r="231" spans="1:26" s="24" customFormat="1" hidden="1" outlineLevel="2" x14ac:dyDescent="0.25">
      <c r="A231" s="26"/>
      <c r="B231" s="11" t="str">
        <f>CONCATENATE("          ", "6284", " - ", "TRASH REMOVAL EXPENSE")</f>
        <v xml:space="preserve">          6284 - TRASH REMOVAL EXPENSE</v>
      </c>
      <c r="C231" s="11"/>
      <c r="D231" s="7">
        <v>-9101.43</v>
      </c>
      <c r="E231" s="2"/>
      <c r="F231" s="6">
        <f t="shared" si="106"/>
        <v>-1.1184323330208483E-2</v>
      </c>
      <c r="G231" s="2"/>
      <c r="H231" s="7">
        <v>4160</v>
      </c>
      <c r="I231" s="2"/>
      <c r="J231" s="6">
        <f t="shared" si="107"/>
        <v>3.5042910718076415E-3</v>
      </c>
      <c r="K231" s="2"/>
      <c r="L231" s="7">
        <f t="shared" si="108"/>
        <v>-13261.43</v>
      </c>
      <c r="M231" s="2"/>
      <c r="N231" s="6">
        <f t="shared" si="109"/>
        <v>-3.1878437499999999</v>
      </c>
      <c r="O231" s="11"/>
      <c r="P231" s="7">
        <v>23098.9</v>
      </c>
      <c r="Q231" s="2"/>
      <c r="R231" s="6">
        <f t="shared" si="110"/>
        <v>2.8999946228275069E-3</v>
      </c>
      <c r="S231" s="2"/>
      <c r="T231" s="7">
        <v>34901</v>
      </c>
      <c r="U231" s="2"/>
      <c r="V231" s="6">
        <f t="shared" si="111"/>
        <v>2.5224557173542874E-3</v>
      </c>
      <c r="W231" s="2"/>
      <c r="X231" s="7">
        <f t="shared" si="112"/>
        <v>-11802.099999999999</v>
      </c>
      <c r="Y231" s="2"/>
      <c r="Z231" s="6">
        <f t="shared" si="113"/>
        <v>-0.338159365061173</v>
      </c>
    </row>
    <row r="232" spans="1:26" s="24" customFormat="1" hidden="1" outlineLevel="2" x14ac:dyDescent="0.25">
      <c r="A232" s="26"/>
      <c r="B232" s="11" t="str">
        <f>CONCATENATE("          ", "6285", " - ", "JANITORIAL SERVICES")</f>
        <v xml:space="preserve">          6285 - JANITORIAL SERVICES</v>
      </c>
      <c r="C232" s="11"/>
      <c r="D232" s="7">
        <v>20652.759999999998</v>
      </c>
      <c r="E232" s="2"/>
      <c r="F232" s="6">
        <f t="shared" si="106"/>
        <v>2.5379214640028711E-2</v>
      </c>
      <c r="G232" s="2"/>
      <c r="H232" s="7">
        <v>17317</v>
      </c>
      <c r="I232" s="2"/>
      <c r="J232" s="6">
        <f t="shared" si="107"/>
        <v>1.45874539640608E-2</v>
      </c>
      <c r="K232" s="2"/>
      <c r="L232" s="7">
        <f t="shared" si="108"/>
        <v>3335.7599999999984</v>
      </c>
      <c r="M232" s="2"/>
      <c r="N232" s="6">
        <f t="shared" si="109"/>
        <v>0.1926292082924293</v>
      </c>
      <c r="O232" s="11"/>
      <c r="P232" s="7">
        <v>120097.21</v>
      </c>
      <c r="Q232" s="2"/>
      <c r="R232" s="6">
        <f t="shared" si="110"/>
        <v>1.5077828953611899E-2</v>
      </c>
      <c r="S232" s="2"/>
      <c r="T232" s="7">
        <v>152178</v>
      </c>
      <c r="U232" s="2"/>
      <c r="V232" s="6">
        <f t="shared" si="111"/>
        <v>1.0998603654781832E-2</v>
      </c>
      <c r="W232" s="2"/>
      <c r="X232" s="7">
        <f t="shared" si="112"/>
        <v>-32080.789999999994</v>
      </c>
      <c r="Y232" s="2"/>
      <c r="Z232" s="6">
        <f t="shared" si="113"/>
        <v>-0.21081095821997919</v>
      </c>
    </row>
    <row r="233" spans="1:26" s="24" customFormat="1" hidden="1" outlineLevel="2" x14ac:dyDescent="0.25">
      <c r="A233" s="26"/>
      <c r="B233" s="11" t="str">
        <f>CONCATENATE("          ", "6286", " - ", "LAUNDRY EXPENSE")</f>
        <v xml:space="preserve">          6286 - LAUNDRY EXPENSE</v>
      </c>
      <c r="C233" s="11"/>
      <c r="D233" s="7">
        <v>878.23</v>
      </c>
      <c r="E233" s="2"/>
      <c r="F233" s="6">
        <f t="shared" si="106"/>
        <v>1.0792159340113582E-3</v>
      </c>
      <c r="G233" s="2"/>
      <c r="H233" s="7">
        <v>4604</v>
      </c>
      <c r="I233" s="2"/>
      <c r="J233" s="6">
        <f t="shared" si="107"/>
        <v>3.8783067535101876E-3</v>
      </c>
      <c r="K233" s="2"/>
      <c r="L233" s="7">
        <f t="shared" si="108"/>
        <v>-3725.77</v>
      </c>
      <c r="M233" s="2"/>
      <c r="N233" s="6">
        <f t="shared" si="109"/>
        <v>-0.80924630755864468</v>
      </c>
      <c r="O233" s="11"/>
      <c r="P233" s="7">
        <v>13586.36</v>
      </c>
      <c r="Q233" s="2"/>
      <c r="R233" s="6">
        <f t="shared" si="110"/>
        <v>1.7057249888002774E-3</v>
      </c>
      <c r="S233" s="2"/>
      <c r="T233" s="7">
        <v>41429</v>
      </c>
      <c r="U233" s="2"/>
      <c r="V233" s="6">
        <f t="shared" si="111"/>
        <v>2.9942642879651231E-3</v>
      </c>
      <c r="W233" s="2"/>
      <c r="X233" s="7">
        <f t="shared" si="112"/>
        <v>-27842.639999999999</v>
      </c>
      <c r="Y233" s="2"/>
      <c r="Z233" s="6">
        <f t="shared" si="113"/>
        <v>-0.67205677182649837</v>
      </c>
    </row>
    <row r="234" spans="1:26" s="25" customFormat="1" outlineLevel="1" collapsed="1" x14ac:dyDescent="0.25">
      <c r="A234" s="27"/>
      <c r="B234" s="13" t="str">
        <f>CONCATENATE("     ","Subscriptions &amp; Dues                              ")</f>
        <v xml:space="preserve">     Subscriptions &amp; Dues                              </v>
      </c>
      <c r="C234" s="13"/>
      <c r="D234" s="1">
        <f>SUM(OSRRefD22_21x_0)</f>
        <v>426.86</v>
      </c>
      <c r="E234" s="1"/>
      <c r="F234" s="5">
        <f t="shared" ref="F234:F236" si="114">IF(D$12=0,0,D234/D$12)</f>
        <v>5.2454836841384187E-4</v>
      </c>
      <c r="G234" s="1"/>
      <c r="H234" s="1">
        <f>SUM(OSRRefH22_21x_0)</f>
        <v>1476</v>
      </c>
      <c r="I234" s="1"/>
      <c r="J234" s="5">
        <f t="shared" ref="J234:J236" si="115">IF(H$12=0,0,H234/H$12)</f>
        <v>1.243349428362519E-3</v>
      </c>
      <c r="K234" s="1"/>
      <c r="L234" s="1">
        <f t="shared" ref="L234:L236" si="116">+D234-H234</f>
        <v>-1049.1399999999999</v>
      </c>
      <c r="M234" s="1"/>
      <c r="N234" s="5">
        <f t="shared" ref="N234:N236" si="117">IF(H234=0,0,L234/H234)</f>
        <v>-0.71079945799457989</v>
      </c>
      <c r="O234" s="13"/>
      <c r="P234" s="1">
        <f>SUM(OSRRefP22_21x_0)</f>
        <v>6045.41</v>
      </c>
      <c r="Q234" s="1"/>
      <c r="R234" s="5">
        <f t="shared" ref="R234:R236" si="118">IF(P$12=0,0,P234/P$12)</f>
        <v>7.5898231053373269E-4</v>
      </c>
      <c r="S234" s="1"/>
      <c r="T234" s="1">
        <f>SUM(OSRRefT22_21x_0)</f>
        <v>15560</v>
      </c>
      <c r="U234" s="1"/>
      <c r="V234" s="5">
        <f t="shared" ref="V234:V236" si="119">IF(T$12=0,0,T234/T$12)</f>
        <v>1.124592732644701E-3</v>
      </c>
      <c r="W234" s="1"/>
      <c r="X234" s="1">
        <f t="shared" ref="X234:X236" si="120">+P234-T234</f>
        <v>-9514.59</v>
      </c>
      <c r="Y234" s="1"/>
      <c r="Z234" s="5">
        <f t="shared" ref="Z234:Z236" si="121">IF(T234=0,0,X234/T234)</f>
        <v>-0.61147750642673526</v>
      </c>
    </row>
    <row r="235" spans="1:26" s="24" customFormat="1" hidden="1" outlineLevel="2" x14ac:dyDescent="0.25">
      <c r="A235" s="26"/>
      <c r="B235" s="11" t="str">
        <f>CONCATENATE("          ", "6258", " - ", "MEMBERSHIP DUES")</f>
        <v xml:space="preserve">          6258 - MEMBERSHIP DUES</v>
      </c>
      <c r="C235" s="11"/>
      <c r="D235" s="7">
        <v>232.79</v>
      </c>
      <c r="E235" s="2"/>
      <c r="F235" s="6">
        <f t="shared" si="114"/>
        <v>2.8606478630712232E-4</v>
      </c>
      <c r="G235" s="2"/>
      <c r="H235" s="7">
        <v>1100</v>
      </c>
      <c r="I235" s="2"/>
      <c r="J235" s="6">
        <f t="shared" si="115"/>
        <v>9.2661542764144362E-4</v>
      </c>
      <c r="K235" s="2"/>
      <c r="L235" s="7">
        <f t="shared" si="116"/>
        <v>-867.21</v>
      </c>
      <c r="M235" s="2"/>
      <c r="N235" s="6">
        <f t="shared" si="117"/>
        <v>-0.78837272727272734</v>
      </c>
      <c r="O235" s="11"/>
      <c r="P235" s="7">
        <v>2901.52</v>
      </c>
      <c r="Q235" s="2"/>
      <c r="R235" s="6">
        <f t="shared" si="118"/>
        <v>3.6427675768224753E-4</v>
      </c>
      <c r="S235" s="2"/>
      <c r="T235" s="7">
        <v>12195</v>
      </c>
      <c r="U235" s="2"/>
      <c r="V235" s="6">
        <f t="shared" si="119"/>
        <v>8.8138871302070236E-4</v>
      </c>
      <c r="W235" s="2"/>
      <c r="X235" s="7">
        <f t="shared" si="120"/>
        <v>-9293.48</v>
      </c>
      <c r="Y235" s="2"/>
      <c r="Z235" s="6">
        <f t="shared" si="121"/>
        <v>-0.76207298072980723</v>
      </c>
    </row>
    <row r="236" spans="1:26" s="24" customFormat="1" hidden="1" outlineLevel="2" x14ac:dyDescent="0.25">
      <c r="A236" s="26"/>
      <c r="B236" s="11" t="str">
        <f>CONCATENATE("          ", "6275", " - ", "SUBSCRIPTIONS")</f>
        <v xml:space="preserve">          6275 - SUBSCRIPTIONS</v>
      </c>
      <c r="C236" s="11"/>
      <c r="D236" s="7">
        <v>194.07</v>
      </c>
      <c r="E236" s="2"/>
      <c r="F236" s="6">
        <f t="shared" si="114"/>
        <v>2.3848358210671952E-4</v>
      </c>
      <c r="G236" s="2"/>
      <c r="H236" s="7">
        <v>376</v>
      </c>
      <c r="I236" s="2"/>
      <c r="J236" s="6">
        <f t="shared" si="115"/>
        <v>3.1673400072107527E-4</v>
      </c>
      <c r="K236" s="2"/>
      <c r="L236" s="7">
        <f t="shared" si="116"/>
        <v>-181.93</v>
      </c>
      <c r="M236" s="2"/>
      <c r="N236" s="6">
        <f t="shared" si="117"/>
        <v>-0.48385638297872341</v>
      </c>
      <c r="O236" s="11"/>
      <c r="P236" s="7">
        <v>3143.89</v>
      </c>
      <c r="Q236" s="2"/>
      <c r="R236" s="6">
        <f t="shared" si="118"/>
        <v>3.947055528514851E-4</v>
      </c>
      <c r="S236" s="2"/>
      <c r="T236" s="7">
        <v>3365</v>
      </c>
      <c r="U236" s="2"/>
      <c r="V236" s="6">
        <f t="shared" si="119"/>
        <v>2.4320401962399865E-4</v>
      </c>
      <c r="W236" s="2"/>
      <c r="X236" s="7">
        <f t="shared" si="120"/>
        <v>-221.11000000000013</v>
      </c>
      <c r="Y236" s="2"/>
      <c r="Z236" s="6">
        <f t="shared" si="121"/>
        <v>-6.5708766716196174E-2</v>
      </c>
    </row>
    <row r="237" spans="1:26" s="25" customFormat="1" outlineLevel="1" collapsed="1" x14ac:dyDescent="0.25">
      <c r="A237" s="27"/>
      <c r="B237" s="13" t="str">
        <f>CONCATENATE("     ","Supplies                                          ")</f>
        <v xml:space="preserve">     Supplies                                          </v>
      </c>
      <c r="C237" s="13"/>
      <c r="D237" s="1">
        <f>SUM(OSRRefD22_22x_0)</f>
        <v>13419</v>
      </c>
      <c r="E237" s="1"/>
      <c r="F237" s="5">
        <f t="shared" ref="F237:F248" si="122">IF(D$12=0,0,D237/D$12)</f>
        <v>1.6489983966043537E-2</v>
      </c>
      <c r="G237" s="1"/>
      <c r="H237" s="1">
        <f>SUM(OSRRefH22_22x_0)</f>
        <v>47851</v>
      </c>
      <c r="I237" s="1"/>
      <c r="J237" s="5">
        <f t="shared" ref="J237:J248" si="123">IF(H$12=0,0,H237/H$12)</f>
        <v>4.0308613480064287E-2</v>
      </c>
      <c r="K237" s="1"/>
      <c r="L237" s="1">
        <f t="shared" ref="L237:L248" si="124">+D237-H237</f>
        <v>-34432</v>
      </c>
      <c r="M237" s="1"/>
      <c r="N237" s="5">
        <f t="shared" ref="N237:N248" si="125">IF(H237=0,0,L237/H237)</f>
        <v>-0.71956698919562812</v>
      </c>
      <c r="O237" s="13"/>
      <c r="P237" s="1">
        <f>SUM(OSRRefP22_22x_0)</f>
        <v>248780.97999999998</v>
      </c>
      <c r="Q237" s="1"/>
      <c r="R237" s="5">
        <f t="shared" ref="R237:R248" si="126">IF(P$12=0,0,P237/P$12)</f>
        <v>3.1233673649470644E-2</v>
      </c>
      <c r="S237" s="1"/>
      <c r="T237" s="1">
        <f>SUM(OSRRefT22_22x_0)</f>
        <v>469161</v>
      </c>
      <c r="U237" s="1"/>
      <c r="V237" s="5">
        <f t="shared" ref="V237:V248" si="127">IF(T$12=0,0,T237/T$12)</f>
        <v>3.3908422303362502E-2</v>
      </c>
      <c r="W237" s="1"/>
      <c r="X237" s="1">
        <f t="shared" ref="X237:X248" si="128">+P237-T237</f>
        <v>-220380.02000000002</v>
      </c>
      <c r="Y237" s="1"/>
      <c r="Z237" s="5">
        <f t="shared" ref="Z237:Z248" si="129">IF(T237=0,0,X237/T237)</f>
        <v>-0.46973218148993634</v>
      </c>
    </row>
    <row r="238" spans="1:26" s="24" customFormat="1" hidden="1" outlineLevel="2" x14ac:dyDescent="0.25">
      <c r="A238" s="26"/>
      <c r="B238" s="11" t="str">
        <f>CONCATENATE("          ", "6234", " - ", "EXPENDABLE SUPPLIES &amp; EQUIPMEN")</f>
        <v xml:space="preserve">          6234 - EXPENDABLE SUPPLIES &amp; EQUIPMEN</v>
      </c>
      <c r="C238" s="11"/>
      <c r="D238" s="7">
        <v>1733.49</v>
      </c>
      <c r="E238" s="2"/>
      <c r="F238" s="6">
        <f t="shared" si="122"/>
        <v>2.1302051050970123E-3</v>
      </c>
      <c r="G238" s="2"/>
      <c r="H238" s="7">
        <v>7250</v>
      </c>
      <c r="I238" s="2"/>
      <c r="J238" s="6">
        <f t="shared" si="123"/>
        <v>6.1072380458186059E-3</v>
      </c>
      <c r="K238" s="2"/>
      <c r="L238" s="7">
        <f t="shared" si="124"/>
        <v>-5516.51</v>
      </c>
      <c r="M238" s="2"/>
      <c r="N238" s="6">
        <f t="shared" si="125"/>
        <v>-0.76089793103448278</v>
      </c>
      <c r="O238" s="11"/>
      <c r="P238" s="7">
        <v>2308.23</v>
      </c>
      <c r="Q238" s="2"/>
      <c r="R238" s="6">
        <f t="shared" si="126"/>
        <v>2.8979105447658271E-4</v>
      </c>
      <c r="S238" s="2"/>
      <c r="T238" s="7">
        <v>66354</v>
      </c>
      <c r="U238" s="2"/>
      <c r="V238" s="6">
        <f t="shared" si="127"/>
        <v>4.7957086235158415E-3</v>
      </c>
      <c r="W238" s="2"/>
      <c r="X238" s="7">
        <f t="shared" si="128"/>
        <v>-64045.77</v>
      </c>
      <c r="Y238" s="2"/>
      <c r="Z238" s="6">
        <f t="shared" si="129"/>
        <v>-0.96521340084998641</v>
      </c>
    </row>
    <row r="239" spans="1:26" s="24" customFormat="1" hidden="1" outlineLevel="2" x14ac:dyDescent="0.25">
      <c r="A239" s="26"/>
      <c r="B239" s="11" t="str">
        <f>CONCATENATE("          ", "6235", " - ", "COVID-19 EXPENSES")</f>
        <v xml:space="preserve">          6235 - COVID-19 EXPENSES</v>
      </c>
      <c r="C239" s="11"/>
      <c r="D239" s="7">
        <v>370.83</v>
      </c>
      <c r="E239" s="2"/>
      <c r="F239" s="6">
        <f t="shared" si="122"/>
        <v>4.556957116124841E-4</v>
      </c>
      <c r="G239" s="2"/>
      <c r="H239" s="7">
        <v>13100</v>
      </c>
      <c r="I239" s="2"/>
      <c r="J239" s="6">
        <f t="shared" si="123"/>
        <v>1.1035147365548101E-2</v>
      </c>
      <c r="K239" s="2"/>
      <c r="L239" s="7">
        <f t="shared" si="124"/>
        <v>-12729.17</v>
      </c>
      <c r="M239" s="2"/>
      <c r="N239" s="6">
        <f t="shared" si="125"/>
        <v>-0.97169236641221379</v>
      </c>
      <c r="O239" s="11"/>
      <c r="P239" s="7">
        <v>98988.800000000003</v>
      </c>
      <c r="Q239" s="2"/>
      <c r="R239" s="6">
        <f t="shared" si="126"/>
        <v>1.2427734122410484E-2</v>
      </c>
      <c r="S239" s="2"/>
      <c r="T239" s="7">
        <v>171000</v>
      </c>
      <c r="U239" s="2"/>
      <c r="V239" s="6">
        <f t="shared" si="127"/>
        <v>1.2358956123537523E-2</v>
      </c>
      <c r="W239" s="2"/>
      <c r="X239" s="7">
        <f t="shared" si="128"/>
        <v>-72011.199999999997</v>
      </c>
      <c r="Y239" s="2"/>
      <c r="Z239" s="6">
        <f t="shared" si="129"/>
        <v>-0.42111812865497072</v>
      </c>
    </row>
    <row r="240" spans="1:26" s="24" customFormat="1" hidden="1" outlineLevel="2" x14ac:dyDescent="0.25">
      <c r="A240" s="26"/>
      <c r="B240" s="11" t="str">
        <f>CONCATENATE("          ", "6237", " - ", "JANITORIAL SUPPLIES")</f>
        <v xml:space="preserve">          6237 - JANITORIAL SUPPLIES</v>
      </c>
      <c r="C240" s="11"/>
      <c r="D240" s="7">
        <v>2592.08</v>
      </c>
      <c r="E240" s="2"/>
      <c r="F240" s="6">
        <f t="shared" si="122"/>
        <v>3.1852863580521746E-3</v>
      </c>
      <c r="G240" s="2"/>
      <c r="H240" s="7">
        <v>10101</v>
      </c>
      <c r="I240" s="2"/>
      <c r="J240" s="6">
        <f t="shared" si="123"/>
        <v>8.5088567587329293E-3</v>
      </c>
      <c r="K240" s="2"/>
      <c r="L240" s="7">
        <f t="shared" si="124"/>
        <v>-7508.92</v>
      </c>
      <c r="M240" s="2"/>
      <c r="N240" s="6">
        <f t="shared" si="125"/>
        <v>-0.74338382338382336</v>
      </c>
      <c r="O240" s="11"/>
      <c r="P240" s="7">
        <v>23417.01</v>
      </c>
      <c r="Q240" s="2"/>
      <c r="R240" s="6">
        <f t="shared" si="126"/>
        <v>2.9399323380203362E-3</v>
      </c>
      <c r="S240" s="2"/>
      <c r="T240" s="7">
        <v>88781</v>
      </c>
      <c r="U240" s="2"/>
      <c r="V240" s="6">
        <f t="shared" si="127"/>
        <v>6.416611015226812E-3</v>
      </c>
      <c r="W240" s="2"/>
      <c r="X240" s="7">
        <f t="shared" si="128"/>
        <v>-65363.990000000005</v>
      </c>
      <c r="Y240" s="2"/>
      <c r="Z240" s="6">
        <f t="shared" si="129"/>
        <v>-0.73623849697570432</v>
      </c>
    </row>
    <row r="241" spans="1:26" s="24" customFormat="1" hidden="1" outlineLevel="2" x14ac:dyDescent="0.25">
      <c r="A241" s="26"/>
      <c r="B241" s="11" t="str">
        <f>CONCATENATE("          ", "6239", " - ", "KITCHEN SUPPLIES")</f>
        <v xml:space="preserve">          6239 - KITCHEN SUPPLIES</v>
      </c>
      <c r="C241" s="11"/>
      <c r="D241" s="7">
        <v>39.75</v>
      </c>
      <c r="E241" s="2"/>
      <c r="F241" s="6">
        <f t="shared" si="122"/>
        <v>4.8846923217097442E-5</v>
      </c>
      <c r="G241" s="2"/>
      <c r="H241" s="7">
        <v>2350</v>
      </c>
      <c r="I241" s="2"/>
      <c r="J241" s="6">
        <f t="shared" si="123"/>
        <v>1.9795875045067204E-3</v>
      </c>
      <c r="K241" s="2"/>
      <c r="L241" s="7">
        <f t="shared" si="124"/>
        <v>-2310.25</v>
      </c>
      <c r="M241" s="2"/>
      <c r="N241" s="6">
        <f t="shared" si="125"/>
        <v>-0.98308510638297875</v>
      </c>
      <c r="O241" s="11"/>
      <c r="P241" s="7">
        <v>7106.91</v>
      </c>
      <c r="Q241" s="2"/>
      <c r="R241" s="6">
        <f t="shared" si="126"/>
        <v>8.9225031429717588E-4</v>
      </c>
      <c r="S241" s="2"/>
      <c r="T241" s="7">
        <v>20293</v>
      </c>
      <c r="U241" s="2"/>
      <c r="V241" s="6">
        <f t="shared" si="127"/>
        <v>1.4666684012569998E-3</v>
      </c>
      <c r="W241" s="2"/>
      <c r="X241" s="7">
        <f t="shared" si="128"/>
        <v>-13186.09</v>
      </c>
      <c r="Y241" s="2"/>
      <c r="Z241" s="6">
        <f t="shared" si="129"/>
        <v>-0.64978514758783823</v>
      </c>
    </row>
    <row r="242" spans="1:26" s="24" customFormat="1" hidden="1" outlineLevel="2" x14ac:dyDescent="0.25">
      <c r="A242" s="26"/>
      <c r="B242" s="11" t="str">
        <f>CONCATENATE("          ", "6241", " - ", "OFFICE EXPENSE")</f>
        <v xml:space="preserve">          6241 - OFFICE EXPENSE</v>
      </c>
      <c r="C242" s="11"/>
      <c r="D242" s="7">
        <v>1907.24</v>
      </c>
      <c r="E242" s="2"/>
      <c r="F242" s="6">
        <f t="shared" si="122"/>
        <v>2.3437183858258347E-3</v>
      </c>
      <c r="G242" s="2"/>
      <c r="H242" s="7">
        <v>1660</v>
      </c>
      <c r="I242" s="2"/>
      <c r="J242" s="6">
        <f t="shared" si="123"/>
        <v>1.3983469180770876E-3</v>
      </c>
      <c r="K242" s="2"/>
      <c r="L242" s="7">
        <f t="shared" si="124"/>
        <v>247.24</v>
      </c>
      <c r="M242" s="2"/>
      <c r="N242" s="6">
        <f t="shared" si="125"/>
        <v>0.14893975903614459</v>
      </c>
      <c r="O242" s="11"/>
      <c r="P242" s="7">
        <v>31695.49</v>
      </c>
      <c r="Q242" s="2"/>
      <c r="R242" s="6">
        <f t="shared" si="126"/>
        <v>3.9792696001923478E-3</v>
      </c>
      <c r="S242" s="2"/>
      <c r="T242" s="7">
        <v>20352</v>
      </c>
      <c r="U242" s="2"/>
      <c r="V242" s="6">
        <f t="shared" si="127"/>
        <v>1.4709326024926063E-3</v>
      </c>
      <c r="W242" s="2"/>
      <c r="X242" s="7">
        <f t="shared" si="128"/>
        <v>11343.490000000002</v>
      </c>
      <c r="Y242" s="2"/>
      <c r="Z242" s="6">
        <f t="shared" si="129"/>
        <v>0.55736487814465419</v>
      </c>
    </row>
    <row r="243" spans="1:26" s="24" customFormat="1" hidden="1" outlineLevel="2" x14ac:dyDescent="0.25">
      <c r="A243" s="26"/>
      <c r="B243" s="11" t="str">
        <f>CONCATENATE("          ", "6243", " - ", "PAPER SUPPLIES")</f>
        <v xml:space="preserve">          6243 - PAPER SUPPLIES</v>
      </c>
      <c r="C243" s="11"/>
      <c r="D243" s="7">
        <v>4492.2299999999996</v>
      </c>
      <c r="E243" s="2"/>
      <c r="F243" s="6">
        <f t="shared" si="122"/>
        <v>5.5202921731708583E-3</v>
      </c>
      <c r="G243" s="2"/>
      <c r="H243" s="7">
        <v>6750</v>
      </c>
      <c r="I243" s="2"/>
      <c r="J243" s="6">
        <f t="shared" si="123"/>
        <v>5.6860492150724948E-3</v>
      </c>
      <c r="K243" s="2"/>
      <c r="L243" s="7">
        <f t="shared" si="124"/>
        <v>-2257.7700000000004</v>
      </c>
      <c r="M243" s="2"/>
      <c r="N243" s="6">
        <f t="shared" si="125"/>
        <v>-0.33448444444444453</v>
      </c>
      <c r="O243" s="11"/>
      <c r="P243" s="7">
        <v>34984.61</v>
      </c>
      <c r="Q243" s="2"/>
      <c r="R243" s="6">
        <f t="shared" si="126"/>
        <v>4.3922083251461078E-3</v>
      </c>
      <c r="S243" s="2"/>
      <c r="T243" s="7">
        <v>28241</v>
      </c>
      <c r="U243" s="2"/>
      <c r="V243" s="6">
        <f t="shared" si="127"/>
        <v>2.0411068999112466E-3</v>
      </c>
      <c r="W243" s="2"/>
      <c r="X243" s="7">
        <f t="shared" si="128"/>
        <v>6743.6100000000006</v>
      </c>
      <c r="Y243" s="2"/>
      <c r="Z243" s="6">
        <f t="shared" si="129"/>
        <v>0.23878793243865304</v>
      </c>
    </row>
    <row r="244" spans="1:26" s="24" customFormat="1" hidden="1" outlineLevel="2" x14ac:dyDescent="0.25">
      <c r="A244" s="26"/>
      <c r="B244" s="11" t="str">
        <f>CONCATENATE("          ", "6244", " - ", "SAFETY SUPPLY EXPENSE")</f>
        <v xml:space="preserve">          6244 - SAFETY SUPPLY EXPENSE</v>
      </c>
      <c r="C244" s="11"/>
      <c r="D244" s="7"/>
      <c r="E244" s="2"/>
      <c r="F244" s="6">
        <f t="shared" si="122"/>
        <v>0</v>
      </c>
      <c r="G244" s="2"/>
      <c r="H244" s="7">
        <v>120</v>
      </c>
      <c r="I244" s="2"/>
      <c r="J244" s="6">
        <f t="shared" si="123"/>
        <v>1.0108531937906658E-4</v>
      </c>
      <c r="K244" s="2"/>
      <c r="L244" s="7">
        <f t="shared" si="124"/>
        <v>-120</v>
      </c>
      <c r="M244" s="2"/>
      <c r="N244" s="6">
        <f t="shared" si="125"/>
        <v>-1</v>
      </c>
      <c r="O244" s="11"/>
      <c r="P244" s="7"/>
      <c r="Q244" s="2"/>
      <c r="R244" s="6">
        <f t="shared" si="126"/>
        <v>0</v>
      </c>
      <c r="S244" s="2"/>
      <c r="T244" s="7">
        <v>1275</v>
      </c>
      <c r="U244" s="2"/>
      <c r="V244" s="6">
        <f t="shared" si="127"/>
        <v>9.2150111447428899E-5</v>
      </c>
      <c r="W244" s="2"/>
      <c r="X244" s="7">
        <f t="shared" si="128"/>
        <v>-1275</v>
      </c>
      <c r="Y244" s="2"/>
      <c r="Z244" s="6">
        <f t="shared" si="129"/>
        <v>-1</v>
      </c>
    </row>
    <row r="245" spans="1:26" s="24" customFormat="1" hidden="1" outlineLevel="2" x14ac:dyDescent="0.25">
      <c r="A245" s="26"/>
      <c r="B245" s="11" t="str">
        <f>CONCATENATE("          ", "6245", " - ", "PRINTING")</f>
        <v xml:space="preserve">          6245 - PRINTING</v>
      </c>
      <c r="C245" s="11"/>
      <c r="D245" s="7">
        <v>447.27</v>
      </c>
      <c r="E245" s="2"/>
      <c r="F245" s="6">
        <f t="shared" si="122"/>
        <v>5.4962926659902318E-4</v>
      </c>
      <c r="G245" s="2"/>
      <c r="H245" s="7">
        <v>500</v>
      </c>
      <c r="I245" s="2"/>
      <c r="J245" s="6">
        <f t="shared" si="123"/>
        <v>4.2118883074611076E-4</v>
      </c>
      <c r="K245" s="2"/>
      <c r="L245" s="7">
        <f t="shared" si="124"/>
        <v>-52.730000000000018</v>
      </c>
      <c r="M245" s="2"/>
      <c r="N245" s="6">
        <f t="shared" si="125"/>
        <v>-0.10546000000000004</v>
      </c>
      <c r="O245" s="11"/>
      <c r="P245" s="7">
        <v>1354.21</v>
      </c>
      <c r="Q245" s="2"/>
      <c r="R245" s="6">
        <f t="shared" si="126"/>
        <v>1.7001682842816056E-4</v>
      </c>
      <c r="S245" s="2"/>
      <c r="T245" s="7">
        <v>6600</v>
      </c>
      <c r="U245" s="2"/>
      <c r="V245" s="6">
        <f t="shared" si="127"/>
        <v>4.7701234161022022E-4</v>
      </c>
      <c r="W245" s="2"/>
      <c r="X245" s="7">
        <f t="shared" si="128"/>
        <v>-5245.79</v>
      </c>
      <c r="Y245" s="2"/>
      <c r="Z245" s="6">
        <f t="shared" si="129"/>
        <v>-0.79481666666666662</v>
      </c>
    </row>
    <row r="246" spans="1:26" s="24" customFormat="1" hidden="1" outlineLevel="2" x14ac:dyDescent="0.25">
      <c r="A246" s="26"/>
      <c r="B246" s="11" t="str">
        <f>CONCATENATE("          ", "6246", " - ", "REPLACEMENTS")</f>
        <v xml:space="preserve">          6246 - REPLACEMENTS</v>
      </c>
      <c r="C246" s="11"/>
      <c r="D246" s="7"/>
      <c r="E246" s="2"/>
      <c r="F246" s="6">
        <f t="shared" si="122"/>
        <v>0</v>
      </c>
      <c r="G246" s="2"/>
      <c r="H246" s="7">
        <v>0</v>
      </c>
      <c r="I246" s="2"/>
      <c r="J246" s="6">
        <f t="shared" si="123"/>
        <v>0</v>
      </c>
      <c r="K246" s="2"/>
      <c r="L246" s="7">
        <f t="shared" si="124"/>
        <v>0</v>
      </c>
      <c r="M246" s="2"/>
      <c r="N246" s="6">
        <f t="shared" si="125"/>
        <v>0</v>
      </c>
      <c r="O246" s="11"/>
      <c r="P246" s="7"/>
      <c r="Q246" s="2"/>
      <c r="R246" s="6">
        <f t="shared" si="126"/>
        <v>0</v>
      </c>
      <c r="S246" s="2"/>
      <c r="T246" s="7">
        <v>0</v>
      </c>
      <c r="U246" s="2"/>
      <c r="V246" s="6">
        <f t="shared" si="127"/>
        <v>0</v>
      </c>
      <c r="W246" s="2"/>
      <c r="X246" s="7">
        <f t="shared" si="128"/>
        <v>0</v>
      </c>
      <c r="Y246" s="2"/>
      <c r="Z246" s="6">
        <f t="shared" si="129"/>
        <v>0</v>
      </c>
    </row>
    <row r="247" spans="1:26" s="24" customFormat="1" hidden="1" outlineLevel="2" x14ac:dyDescent="0.25">
      <c r="A247" s="26"/>
      <c r="B247" s="11" t="str">
        <f>CONCATENATE("          ", "6247", " - ", "STORE SUPPLIES")</f>
        <v xml:space="preserve">          6247 - STORE SUPPLIES</v>
      </c>
      <c r="C247" s="11"/>
      <c r="D247" s="7">
        <v>1836.11</v>
      </c>
      <c r="E247" s="2"/>
      <c r="F247" s="6">
        <f t="shared" si="122"/>
        <v>2.2563100424690509E-3</v>
      </c>
      <c r="G247" s="2"/>
      <c r="H247" s="7">
        <v>4020</v>
      </c>
      <c r="I247" s="2"/>
      <c r="J247" s="6">
        <f t="shared" si="123"/>
        <v>3.3863581991987303E-3</v>
      </c>
      <c r="K247" s="2"/>
      <c r="L247" s="7">
        <f t="shared" si="124"/>
        <v>-2183.8900000000003</v>
      </c>
      <c r="M247" s="2"/>
      <c r="N247" s="6">
        <f t="shared" si="125"/>
        <v>-0.54325621890547271</v>
      </c>
      <c r="O247" s="11"/>
      <c r="P247" s="7">
        <v>44425.13</v>
      </c>
      <c r="Q247" s="2"/>
      <c r="R247" s="6">
        <f t="shared" si="126"/>
        <v>5.5774360735105543E-3</v>
      </c>
      <c r="S247" s="2"/>
      <c r="T247" s="7">
        <v>42000</v>
      </c>
      <c r="U247" s="2"/>
      <c r="V247" s="6">
        <f t="shared" si="127"/>
        <v>3.0355330829741284E-3</v>
      </c>
      <c r="W247" s="2"/>
      <c r="X247" s="7">
        <f t="shared" si="128"/>
        <v>2425.1299999999974</v>
      </c>
      <c r="Y247" s="2"/>
      <c r="Z247" s="6">
        <f t="shared" si="129"/>
        <v>5.7741190476190411E-2</v>
      </c>
    </row>
    <row r="248" spans="1:26" s="24" customFormat="1" hidden="1" outlineLevel="2" x14ac:dyDescent="0.25">
      <c r="A248" s="26"/>
      <c r="B248" s="11" t="str">
        <f>CONCATENATE("          ", "6248", " - ", "UNIFORMS")</f>
        <v xml:space="preserve">          6248 - UNIFORMS</v>
      </c>
      <c r="C248" s="11"/>
      <c r="D248" s="7"/>
      <c r="E248" s="2"/>
      <c r="F248" s="6">
        <f t="shared" si="122"/>
        <v>0</v>
      </c>
      <c r="G248" s="2"/>
      <c r="H248" s="7">
        <v>2000</v>
      </c>
      <c r="I248" s="2"/>
      <c r="J248" s="6">
        <f t="shared" si="123"/>
        <v>1.684755322984443E-3</v>
      </c>
      <c r="K248" s="2"/>
      <c r="L248" s="7">
        <f t="shared" si="124"/>
        <v>-2000</v>
      </c>
      <c r="M248" s="2"/>
      <c r="N248" s="6">
        <f t="shared" si="125"/>
        <v>-1</v>
      </c>
      <c r="O248" s="11"/>
      <c r="P248" s="7">
        <v>4500.59</v>
      </c>
      <c r="Q248" s="2"/>
      <c r="R248" s="6">
        <f t="shared" si="126"/>
        <v>5.6503499298889766E-4</v>
      </c>
      <c r="S248" s="2"/>
      <c r="T248" s="7">
        <v>24265</v>
      </c>
      <c r="U248" s="2"/>
      <c r="V248" s="6">
        <f t="shared" si="127"/>
        <v>1.753743101389696E-3</v>
      </c>
      <c r="W248" s="2"/>
      <c r="X248" s="7">
        <f t="shared" si="128"/>
        <v>-19764.41</v>
      </c>
      <c r="Y248" s="2"/>
      <c r="Z248" s="6">
        <f t="shared" si="129"/>
        <v>-0.81452338759530185</v>
      </c>
    </row>
    <row r="249" spans="1:26" s="25" customFormat="1" outlineLevel="1" collapsed="1" x14ac:dyDescent="0.25">
      <c r="A249" s="27"/>
      <c r="B249" s="13" t="str">
        <f>CONCATENATE("     ","Telephone/Data Lines                              ")</f>
        <v xml:space="preserve">     Telephone/Data Lines                              </v>
      </c>
      <c r="C249" s="13"/>
      <c r="D249" s="1">
        <f>SUM(OSRRefD22_23x_0)</f>
        <v>2631.37</v>
      </c>
      <c r="E249" s="1"/>
      <c r="F249" s="5">
        <f t="shared" ref="F249:F251" si="130">IF(D$12=0,0,D249/D$12)</f>
        <v>3.2335680086987093E-3</v>
      </c>
      <c r="G249" s="1"/>
      <c r="H249" s="1">
        <f>SUM(OSRRefH22_23x_0)</f>
        <v>4590</v>
      </c>
      <c r="I249" s="1"/>
      <c r="J249" s="5">
        <f t="shared" ref="J249:J251" si="131">IF(H$12=0,0,H249/H$12)</f>
        <v>3.8665134662492968E-3</v>
      </c>
      <c r="K249" s="1"/>
      <c r="L249" s="1">
        <f t="shared" ref="L249:L251" si="132">+D249-H249</f>
        <v>-1958.63</v>
      </c>
      <c r="M249" s="1"/>
      <c r="N249" s="5">
        <f t="shared" ref="N249:N251" si="133">IF(H249=0,0,L249/H249)</f>
        <v>-0.42671677559912857</v>
      </c>
      <c r="O249" s="13"/>
      <c r="P249" s="1">
        <f>SUM(OSRRefP22_23x_0)</f>
        <v>37504.370000000003</v>
      </c>
      <c r="Q249" s="1"/>
      <c r="R249" s="5">
        <f t="shared" ref="R249:R251" si="134">IF(P$12=0,0,P249/P$12)</f>
        <v>4.7085563092845659E-3</v>
      </c>
      <c r="S249" s="1"/>
      <c r="T249" s="1">
        <f>SUM(OSRRefT22_23x_0)</f>
        <v>43657</v>
      </c>
      <c r="U249" s="1"/>
      <c r="V249" s="5">
        <f t="shared" ref="V249:V251" si="135">IF(T$12=0,0,T249/T$12)</f>
        <v>3.1552920905571795E-3</v>
      </c>
      <c r="W249" s="1"/>
      <c r="X249" s="1">
        <f t="shared" ref="X249:X251" si="136">+P249-T249</f>
        <v>-6152.6299999999974</v>
      </c>
      <c r="Y249" s="1"/>
      <c r="Z249" s="5">
        <f t="shared" ref="Z249:Z251" si="137">IF(T249=0,0,X249/T249)</f>
        <v>-0.14093112215681328</v>
      </c>
    </row>
    <row r="250" spans="1:26" s="24" customFormat="1" hidden="1" outlineLevel="2" x14ac:dyDescent="0.25">
      <c r="A250" s="26"/>
      <c r="B250" s="11" t="str">
        <f>CONCATENATE("          ", "6303", " - ", "DATA PHONE LINES")</f>
        <v xml:space="preserve">          6303 - DATA PHONE LINES</v>
      </c>
      <c r="C250" s="11"/>
      <c r="D250" s="7"/>
      <c r="E250" s="2"/>
      <c r="F250" s="6">
        <f t="shared" si="130"/>
        <v>0</v>
      </c>
      <c r="G250" s="2"/>
      <c r="H250" s="7">
        <v>1500</v>
      </c>
      <c r="I250" s="2"/>
      <c r="J250" s="6">
        <f t="shared" si="131"/>
        <v>1.2635664922383322E-3</v>
      </c>
      <c r="K250" s="2"/>
      <c r="L250" s="7">
        <f t="shared" si="132"/>
        <v>-1500</v>
      </c>
      <c r="M250" s="2"/>
      <c r="N250" s="6">
        <f t="shared" si="133"/>
        <v>-1</v>
      </c>
      <c r="O250" s="11"/>
      <c r="P250" s="7">
        <v>2950</v>
      </c>
      <c r="Q250" s="2"/>
      <c r="R250" s="6">
        <f t="shared" si="134"/>
        <v>3.7036326999732215E-4</v>
      </c>
      <c r="S250" s="2"/>
      <c r="T250" s="7">
        <v>13537</v>
      </c>
      <c r="U250" s="2"/>
      <c r="V250" s="6">
        <f t="shared" si="135"/>
        <v>9.7838122248144707E-4</v>
      </c>
      <c r="W250" s="2"/>
      <c r="X250" s="7">
        <f t="shared" si="136"/>
        <v>-10587</v>
      </c>
      <c r="Y250" s="2"/>
      <c r="Z250" s="6">
        <f t="shared" si="137"/>
        <v>-0.78207874713747505</v>
      </c>
    </row>
    <row r="251" spans="1:26" s="24" customFormat="1" hidden="1" outlineLevel="2" x14ac:dyDescent="0.25">
      <c r="A251" s="26"/>
      <c r="B251" s="11" t="str">
        <f>CONCATENATE("          ", "6309", " - ", "TELEPHONE")</f>
        <v xml:space="preserve">          6309 - TELEPHONE</v>
      </c>
      <c r="C251" s="11"/>
      <c r="D251" s="7">
        <v>2631.37</v>
      </c>
      <c r="E251" s="2"/>
      <c r="F251" s="6">
        <f t="shared" si="130"/>
        <v>3.2335680086987093E-3</v>
      </c>
      <c r="G251" s="2"/>
      <c r="H251" s="7">
        <v>3090</v>
      </c>
      <c r="I251" s="2"/>
      <c r="J251" s="6">
        <f t="shared" si="131"/>
        <v>2.6029469740109644E-3</v>
      </c>
      <c r="K251" s="2"/>
      <c r="L251" s="7">
        <f t="shared" si="132"/>
        <v>-458.63000000000011</v>
      </c>
      <c r="M251" s="2"/>
      <c r="N251" s="6">
        <f t="shared" si="133"/>
        <v>-0.14842394822006477</v>
      </c>
      <c r="O251" s="11"/>
      <c r="P251" s="7">
        <v>34554.370000000003</v>
      </c>
      <c r="Q251" s="2"/>
      <c r="R251" s="6">
        <f t="shared" si="134"/>
        <v>4.3381930392872442E-3</v>
      </c>
      <c r="S251" s="2"/>
      <c r="T251" s="7">
        <v>30120</v>
      </c>
      <c r="U251" s="2"/>
      <c r="V251" s="6">
        <f t="shared" si="135"/>
        <v>2.1769108680757322E-3</v>
      </c>
      <c r="W251" s="2"/>
      <c r="X251" s="7">
        <f t="shared" si="136"/>
        <v>4434.3700000000026</v>
      </c>
      <c r="Y251" s="2"/>
      <c r="Z251" s="6">
        <f t="shared" si="137"/>
        <v>0.14722343957503328</v>
      </c>
    </row>
    <row r="252" spans="1:26" s="25" customFormat="1" outlineLevel="1" collapsed="1" x14ac:dyDescent="0.25">
      <c r="A252" s="27"/>
      <c r="B252" s="13" t="str">
        <f>CONCATENATE("     ","Training                                          ")</f>
        <v xml:space="preserve">     Training                                          </v>
      </c>
      <c r="C252" s="13"/>
      <c r="D252" s="1">
        <f>SUM(OSRRefD22_24x_0)</f>
        <v>51.23</v>
      </c>
      <c r="E252" s="1"/>
      <c r="F252" s="5">
        <f t="shared" ref="F252:F257" si="138">IF(D$12=0,0,D252/D$12)</f>
        <v>6.295416041287803E-5</v>
      </c>
      <c r="G252" s="1"/>
      <c r="H252" s="1">
        <f>SUM(OSRRefH22_24x_0)</f>
        <v>3750</v>
      </c>
      <c r="I252" s="1"/>
      <c r="J252" s="5">
        <f t="shared" ref="J252:J257" si="139">IF(H$12=0,0,H252/H$12)</f>
        <v>3.1589162305958305E-3</v>
      </c>
      <c r="K252" s="1"/>
      <c r="L252" s="1">
        <f t="shared" ref="L252:L257" si="140">+D252-H252</f>
        <v>-3698.77</v>
      </c>
      <c r="M252" s="1"/>
      <c r="N252" s="5">
        <f t="shared" ref="N252:N257" si="141">IF(H252=0,0,L252/H252)</f>
        <v>-0.9863386666666667</v>
      </c>
      <c r="O252" s="13"/>
      <c r="P252" s="1">
        <f>SUM(OSRRefP22_24x_0)</f>
        <v>2181.86</v>
      </c>
      <c r="Q252" s="1"/>
      <c r="R252" s="5">
        <f t="shared" ref="R252:R257" si="142">IF(P$12=0,0,P252/P$12)</f>
        <v>2.7392569636486692E-4</v>
      </c>
      <c r="S252" s="1"/>
      <c r="T252" s="1">
        <f>SUM(OSRRefT22_24x_0)</f>
        <v>25610</v>
      </c>
      <c r="U252" s="1"/>
      <c r="V252" s="5">
        <f t="shared" ref="V252:V257" si="143">IF(T$12=0,0,T252/T$12)</f>
        <v>1.8509524346420818E-3</v>
      </c>
      <c r="W252" s="1"/>
      <c r="X252" s="1">
        <f t="shared" ref="X252:X257" si="144">+P252-T252</f>
        <v>-23428.14</v>
      </c>
      <c r="Y252" s="1"/>
      <c r="Z252" s="5">
        <f t="shared" ref="Z252:Z257" si="145">IF(T252=0,0,X252/T252)</f>
        <v>-0.91480437329168296</v>
      </c>
    </row>
    <row r="253" spans="1:26" s="24" customFormat="1" hidden="1" outlineLevel="2" x14ac:dyDescent="0.25">
      <c r="A253" s="26"/>
      <c r="B253" s="11" t="str">
        <f>CONCATENATE("          ", "6376", " - ", "TRAINING")</f>
        <v xml:space="preserve">          6376 - TRAINING</v>
      </c>
      <c r="C253" s="11"/>
      <c r="D253" s="7">
        <v>51.23</v>
      </c>
      <c r="E253" s="2"/>
      <c r="F253" s="6">
        <f t="shared" si="138"/>
        <v>6.295416041287803E-5</v>
      </c>
      <c r="G253" s="2"/>
      <c r="H253" s="7">
        <v>3750</v>
      </c>
      <c r="I253" s="2"/>
      <c r="J253" s="6">
        <f t="shared" si="139"/>
        <v>3.1589162305958305E-3</v>
      </c>
      <c r="K253" s="2"/>
      <c r="L253" s="7">
        <f t="shared" si="140"/>
        <v>-3698.77</v>
      </c>
      <c r="M253" s="2"/>
      <c r="N253" s="6">
        <f t="shared" si="141"/>
        <v>-0.9863386666666667</v>
      </c>
      <c r="O253" s="11"/>
      <c r="P253" s="7">
        <v>2181.86</v>
      </c>
      <c r="Q253" s="2"/>
      <c r="R253" s="6">
        <f t="shared" si="142"/>
        <v>2.7392569636486692E-4</v>
      </c>
      <c r="S253" s="2"/>
      <c r="T253" s="7">
        <v>25610</v>
      </c>
      <c r="U253" s="2"/>
      <c r="V253" s="6">
        <f t="shared" si="143"/>
        <v>1.8509524346420818E-3</v>
      </c>
      <c r="W253" s="2"/>
      <c r="X253" s="7">
        <f t="shared" si="144"/>
        <v>-23428.14</v>
      </c>
      <c r="Y253" s="2"/>
      <c r="Z253" s="6">
        <f t="shared" si="145"/>
        <v>-0.91480437329168296</v>
      </c>
    </row>
    <row r="254" spans="1:26" s="25" customFormat="1" outlineLevel="1" collapsed="1" x14ac:dyDescent="0.25">
      <c r="A254" s="27"/>
      <c r="B254" s="13" t="str">
        <f>CONCATENATE("     ","Travel                                            ")</f>
        <v xml:space="preserve">     Travel                                            </v>
      </c>
      <c r="C254" s="13"/>
      <c r="D254" s="1">
        <f>SUM(OSRRefD22_25x_0)</f>
        <v>93.02</v>
      </c>
      <c r="E254" s="1"/>
      <c r="F254" s="5">
        <f t="shared" si="138"/>
        <v>1.1430794459507935E-4</v>
      </c>
      <c r="G254" s="1"/>
      <c r="H254" s="1">
        <f>SUM(OSRRefH22_25x_0)</f>
        <v>350</v>
      </c>
      <c r="I254" s="1"/>
      <c r="J254" s="5">
        <f t="shared" si="139"/>
        <v>2.9483218152227754E-4</v>
      </c>
      <c r="K254" s="1"/>
      <c r="L254" s="1">
        <f t="shared" si="140"/>
        <v>-256.98</v>
      </c>
      <c r="M254" s="1"/>
      <c r="N254" s="5">
        <f t="shared" si="141"/>
        <v>-0.73422857142857145</v>
      </c>
      <c r="O254" s="13"/>
      <c r="P254" s="1">
        <f>SUM(OSRRefP22_25x_0)</f>
        <v>1235.54</v>
      </c>
      <c r="Q254" s="1"/>
      <c r="R254" s="5">
        <f t="shared" si="142"/>
        <v>1.5511818122457337E-4</v>
      </c>
      <c r="S254" s="1"/>
      <c r="T254" s="1">
        <f>SUM(OSRRefT22_25x_0)</f>
        <v>4850</v>
      </c>
      <c r="U254" s="1"/>
      <c r="V254" s="5">
        <f t="shared" si="143"/>
        <v>3.505317964862982E-4</v>
      </c>
      <c r="W254" s="1"/>
      <c r="X254" s="1">
        <f t="shared" si="144"/>
        <v>-3614.46</v>
      </c>
      <c r="Y254" s="1"/>
      <c r="Z254" s="5">
        <f t="shared" si="145"/>
        <v>-0.74524948453608253</v>
      </c>
    </row>
    <row r="255" spans="1:26" s="24" customFormat="1" hidden="1" outlineLevel="2" x14ac:dyDescent="0.25">
      <c r="A255" s="26"/>
      <c r="B255" s="11" t="str">
        <f>CONCATENATE("          ", "6292", " - ", "TRAVEL/CONFERENCE")</f>
        <v xml:space="preserve">          6292 - TRAVEL/CONFERENCE</v>
      </c>
      <c r="C255" s="11"/>
      <c r="D255" s="7"/>
      <c r="E255" s="2"/>
      <c r="F255" s="6">
        <f t="shared" si="138"/>
        <v>0</v>
      </c>
      <c r="G255" s="2"/>
      <c r="H255" s="7">
        <v>300</v>
      </c>
      <c r="I255" s="2"/>
      <c r="J255" s="6">
        <f t="shared" si="139"/>
        <v>2.5271329844766643E-4</v>
      </c>
      <c r="K255" s="2"/>
      <c r="L255" s="7">
        <f t="shared" si="140"/>
        <v>-300</v>
      </c>
      <c r="M255" s="2"/>
      <c r="N255" s="6">
        <f t="shared" si="141"/>
        <v>-1</v>
      </c>
      <c r="O255" s="11"/>
      <c r="P255" s="7">
        <v>299.16000000000003</v>
      </c>
      <c r="Q255" s="2"/>
      <c r="R255" s="6">
        <f t="shared" si="142"/>
        <v>3.7558601983864038E-5</v>
      </c>
      <c r="S255" s="2"/>
      <c r="T255" s="7">
        <v>4200</v>
      </c>
      <c r="U255" s="2"/>
      <c r="V255" s="6">
        <f t="shared" si="143"/>
        <v>3.0355330829741285E-4</v>
      </c>
      <c r="W255" s="2"/>
      <c r="X255" s="7">
        <f t="shared" si="144"/>
        <v>-3900.84</v>
      </c>
      <c r="Y255" s="2"/>
      <c r="Z255" s="6">
        <f t="shared" si="145"/>
        <v>-0.92877142857142858</v>
      </c>
    </row>
    <row r="256" spans="1:26" s="24" customFormat="1" hidden="1" outlineLevel="2" x14ac:dyDescent="0.25">
      <c r="A256" s="26"/>
      <c r="B256" s="11" t="str">
        <f>CONCATENATE("          ", "6294", " - ", "TRAVEL OPERATIONAL")</f>
        <v xml:space="preserve">          6294 - TRAVEL OPERATIONAL</v>
      </c>
      <c r="C256" s="11"/>
      <c r="D256" s="7">
        <v>93.02</v>
      </c>
      <c r="E256" s="2"/>
      <c r="F256" s="6">
        <f t="shared" si="138"/>
        <v>1.1430794459507935E-4</v>
      </c>
      <c r="G256" s="2"/>
      <c r="H256" s="7">
        <v>25</v>
      </c>
      <c r="I256" s="2"/>
      <c r="J256" s="6">
        <f t="shared" si="139"/>
        <v>2.1059441537305537E-5</v>
      </c>
      <c r="K256" s="2"/>
      <c r="L256" s="7">
        <f t="shared" si="140"/>
        <v>68.02</v>
      </c>
      <c r="M256" s="2"/>
      <c r="N256" s="6">
        <f t="shared" si="141"/>
        <v>2.7207999999999997</v>
      </c>
      <c r="O256" s="11"/>
      <c r="P256" s="7">
        <v>544.28</v>
      </c>
      <c r="Q256" s="2"/>
      <c r="R256" s="6">
        <f t="shared" si="142"/>
        <v>6.8332651048861858E-5</v>
      </c>
      <c r="S256" s="2"/>
      <c r="T256" s="7">
        <v>225</v>
      </c>
      <c r="U256" s="2"/>
      <c r="V256" s="6">
        <f t="shared" si="143"/>
        <v>1.6261784373075689E-5</v>
      </c>
      <c r="W256" s="2"/>
      <c r="X256" s="7">
        <f t="shared" si="144"/>
        <v>319.27999999999997</v>
      </c>
      <c r="Y256" s="2"/>
      <c r="Z256" s="6">
        <f t="shared" si="145"/>
        <v>1.4190222222222222</v>
      </c>
    </row>
    <row r="257" spans="1:26" s="24" customFormat="1" hidden="1" outlineLevel="2" x14ac:dyDescent="0.25">
      <c r="A257" s="26"/>
      <c r="B257" s="11" t="str">
        <f>CONCATENATE("          ", "6298", " - ", "VEHICLE MILEAGE")</f>
        <v xml:space="preserve">          6298 - VEHICLE MILEAGE</v>
      </c>
      <c r="C257" s="11"/>
      <c r="D257" s="7"/>
      <c r="E257" s="2"/>
      <c r="F257" s="6">
        <f t="shared" si="138"/>
        <v>0</v>
      </c>
      <c r="G257" s="2"/>
      <c r="H257" s="7">
        <v>25</v>
      </c>
      <c r="I257" s="2"/>
      <c r="J257" s="6">
        <f t="shared" si="139"/>
        <v>2.1059441537305537E-5</v>
      </c>
      <c r="K257" s="2"/>
      <c r="L257" s="7">
        <f t="shared" si="140"/>
        <v>-25</v>
      </c>
      <c r="M257" s="2"/>
      <c r="N257" s="6">
        <f t="shared" si="141"/>
        <v>-1</v>
      </c>
      <c r="O257" s="11"/>
      <c r="P257" s="7">
        <v>392.1</v>
      </c>
      <c r="Q257" s="2"/>
      <c r="R257" s="6">
        <f t="shared" si="142"/>
        <v>4.9226928191847465E-5</v>
      </c>
      <c r="S257" s="2"/>
      <c r="T257" s="7">
        <v>425</v>
      </c>
      <c r="U257" s="2"/>
      <c r="V257" s="6">
        <f t="shared" si="143"/>
        <v>3.0716703815809637E-5</v>
      </c>
      <c r="W257" s="2"/>
      <c r="X257" s="7">
        <f t="shared" si="144"/>
        <v>-32.899999999999977</v>
      </c>
      <c r="Y257" s="2"/>
      <c r="Z257" s="6">
        <f t="shared" si="145"/>
        <v>-7.7411764705882305E-2</v>
      </c>
    </row>
    <row r="258" spans="1:26" s="25" customFormat="1" outlineLevel="1" collapsed="1" x14ac:dyDescent="0.25">
      <c r="A258" s="27"/>
      <c r="B258" s="13" t="str">
        <f>CONCATENATE("     ","Utilities                                         ")</f>
        <v xml:space="preserve">     Utilities                                         </v>
      </c>
      <c r="C258" s="13"/>
      <c r="D258" s="1">
        <f>SUM(OSRRefD22_26x_0)</f>
        <v>-7524.55</v>
      </c>
      <c r="E258" s="1"/>
      <c r="F258" s="5">
        <f t="shared" ref="F258:F259" si="146">IF(D$12=0,0,D258/D$12)</f>
        <v>-9.2465689583197622E-3</v>
      </c>
      <c r="G258" s="1"/>
      <c r="H258" s="1">
        <f>SUM(OSRRefH22_26x_0)</f>
        <v>10300</v>
      </c>
      <c r="I258" s="1"/>
      <c r="J258" s="5">
        <f t="shared" ref="J258:J259" si="147">IF(H$12=0,0,H258/H$12)</f>
        <v>8.6764899133698805E-3</v>
      </c>
      <c r="K258" s="1"/>
      <c r="L258" s="1">
        <f t="shared" ref="L258:L259" si="148">+D258-H258</f>
        <v>-17824.55</v>
      </c>
      <c r="M258" s="1"/>
      <c r="N258" s="5">
        <f t="shared" ref="N258:N259" si="149">IF(H258=0,0,L258/H258)</f>
        <v>-1.7305388349514563</v>
      </c>
      <c r="O258" s="13"/>
      <c r="P258" s="1">
        <f>SUM(OSRRefP22_26x_0)</f>
        <v>55705.62</v>
      </c>
      <c r="Q258" s="1"/>
      <c r="R258" s="5">
        <f t="shared" ref="R258:R259" si="150">IF(P$12=0,0,P258/P$12)</f>
        <v>6.9936662984502471E-3</v>
      </c>
      <c r="S258" s="1"/>
      <c r="T258" s="1">
        <f>SUM(OSRRefT22_26x_0)</f>
        <v>95569</v>
      </c>
      <c r="U258" s="1"/>
      <c r="V258" s="5">
        <f t="shared" ref="V258:V259" si="151">IF(T$12=0,0,T258/T$12)</f>
        <v>6.9072109811132024E-3</v>
      </c>
      <c r="W258" s="1"/>
      <c r="X258" s="1">
        <f t="shared" ref="X258:X259" si="152">+P258-T258</f>
        <v>-39863.379999999997</v>
      </c>
      <c r="Y258" s="1"/>
      <c r="Z258" s="5">
        <f t="shared" ref="Z258:Z259" si="153">IF(T258=0,0,X258/T258)</f>
        <v>-0.41711621969467083</v>
      </c>
    </row>
    <row r="259" spans="1:26" s="24" customFormat="1" hidden="1" outlineLevel="2" x14ac:dyDescent="0.25">
      <c r="A259" s="26"/>
      <c r="B259" s="11" t="str">
        <f>CONCATENATE("          ", "6274", " - ", "UTILITIES")</f>
        <v xml:space="preserve">          6274 - UTILITIES</v>
      </c>
      <c r="C259" s="11"/>
      <c r="D259" s="7">
        <v>-7524.55</v>
      </c>
      <c r="E259" s="2"/>
      <c r="F259" s="6">
        <f t="shared" si="146"/>
        <v>-9.2465689583197622E-3</v>
      </c>
      <c r="G259" s="2"/>
      <c r="H259" s="7">
        <v>10300</v>
      </c>
      <c r="I259" s="2"/>
      <c r="J259" s="6">
        <f t="shared" si="147"/>
        <v>8.6764899133698805E-3</v>
      </c>
      <c r="K259" s="2"/>
      <c r="L259" s="7">
        <f t="shared" si="148"/>
        <v>-17824.55</v>
      </c>
      <c r="M259" s="2"/>
      <c r="N259" s="6">
        <f t="shared" si="149"/>
        <v>-1.7305388349514563</v>
      </c>
      <c r="O259" s="11"/>
      <c r="P259" s="7">
        <v>55705.62</v>
      </c>
      <c r="Q259" s="2"/>
      <c r="R259" s="6">
        <f t="shared" si="150"/>
        <v>6.9936662984502471E-3</v>
      </c>
      <c r="S259" s="2"/>
      <c r="T259" s="7">
        <v>95569</v>
      </c>
      <c r="U259" s="2"/>
      <c r="V259" s="6">
        <f t="shared" si="151"/>
        <v>6.9072109811132024E-3</v>
      </c>
      <c r="W259" s="2"/>
      <c r="X259" s="7">
        <f t="shared" si="152"/>
        <v>-39863.379999999997</v>
      </c>
      <c r="Y259" s="2"/>
      <c r="Z259" s="6">
        <f t="shared" si="153"/>
        <v>-0.41711621969467083</v>
      </c>
    </row>
    <row r="260" spans="1:26" s="59" customFormat="1" x14ac:dyDescent="0.25">
      <c r="A260" s="36"/>
      <c r="B260" s="36"/>
      <c r="C260" s="36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6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3" customFormat="1" collapsed="1" x14ac:dyDescent="0.25">
      <c r="A261" s="10"/>
      <c r="B261" s="28" t="s">
        <v>293</v>
      </c>
      <c r="C261" s="10"/>
      <c r="D261" s="4">
        <f>SUM(OSRRefD25x_0)</f>
        <v>217934.5</v>
      </c>
      <c r="E261" s="4"/>
      <c r="F261" s="12">
        <f t="shared" ref="F261:F268" si="154">IF(D$12=0,0,D261/D$12)</f>
        <v>0.26780955441148485</v>
      </c>
      <c r="G261" s="4"/>
      <c r="H261" s="4">
        <f>SUM(OSRRefH25x_0)</f>
        <v>223279</v>
      </c>
      <c r="I261" s="4"/>
      <c r="J261" s="12">
        <f t="shared" ref="J261:J268" si="155">IF(H$12=0,0,H261/H$12)</f>
        <v>0.18808524188032172</v>
      </c>
      <c r="K261" s="4"/>
      <c r="L261" s="4">
        <f t="shared" ref="L261:L268" si="156">+D261-H261</f>
        <v>-5344.5</v>
      </c>
      <c r="M261" s="4"/>
      <c r="N261" s="12">
        <f t="shared" ref="N261:N268" si="157">IF(H261=0,0,L261/H261)</f>
        <v>-2.3936420353011256E-2</v>
      </c>
      <c r="O261" s="10"/>
      <c r="P261" s="4">
        <f>SUM(OSRRefP25x_0)</f>
        <v>1011946.45</v>
      </c>
      <c r="Q261" s="4"/>
      <c r="R261" s="12">
        <f t="shared" ref="R261:R268" si="158">IF(P$12=0,0,P261/P$12)</f>
        <v>0.12704671060480735</v>
      </c>
      <c r="S261" s="4"/>
      <c r="T261" s="4">
        <f>SUM(OSRRefT25x_0)</f>
        <v>929376</v>
      </c>
      <c r="U261" s="4"/>
      <c r="V261" s="12">
        <f t="shared" ref="V261:V268" si="159">IF(T$12=0,0,T261/T$12)</f>
        <v>6.717027606005152E-2</v>
      </c>
      <c r="W261" s="4"/>
      <c r="X261" s="4">
        <f t="shared" ref="X261:X268" si="160">+P261-T261</f>
        <v>82570.449999999953</v>
      </c>
      <c r="Y261" s="4"/>
      <c r="Z261" s="12">
        <f t="shared" ref="Z261:Z268" si="161">IF(T261=0,0,X261/T261)</f>
        <v>8.884504226491749E-2</v>
      </c>
    </row>
    <row r="262" spans="1:26" s="24" customFormat="1" hidden="1" outlineLevel="1" x14ac:dyDescent="0.25">
      <c r="A262" s="44"/>
      <c r="B262" s="11" t="str">
        <f>CONCATENATE("          ", "4187", " - ", "NON-TAXABLE SALES-COMPUTER REP")</f>
        <v xml:space="preserve">          4187 - NON-TAXABLE SALES-COMPUTER REP</v>
      </c>
      <c r="C262" s="11"/>
      <c r="D262" s="2">
        <f>--160.46</f>
        <v>160.46</v>
      </c>
      <c r="E262" s="2"/>
      <c r="F262" s="19">
        <f t="shared" si="154"/>
        <v>1.9718181885321903E-4</v>
      </c>
      <c r="G262" s="2"/>
      <c r="H262" s="2"/>
      <c r="I262" s="2"/>
      <c r="J262" s="19">
        <f t="shared" si="155"/>
        <v>0</v>
      </c>
      <c r="K262" s="2"/>
      <c r="L262" s="2">
        <f t="shared" si="156"/>
        <v>160.46</v>
      </c>
      <c r="M262" s="2"/>
      <c r="N262" s="19">
        <f t="shared" si="157"/>
        <v>0</v>
      </c>
      <c r="O262" s="11"/>
      <c r="P262" s="2">
        <f>--1614.97</f>
        <v>1614.97</v>
      </c>
      <c r="Q262" s="2"/>
      <c r="R262" s="19">
        <f t="shared" si="158"/>
        <v>2.0275443055850013E-4</v>
      </c>
      <c r="S262" s="2"/>
      <c r="T262" s="2"/>
      <c r="U262" s="2"/>
      <c r="V262" s="19">
        <f t="shared" si="159"/>
        <v>0</v>
      </c>
      <c r="W262" s="2"/>
      <c r="X262" s="2">
        <f t="shared" si="160"/>
        <v>1614.97</v>
      </c>
      <c r="Y262" s="2"/>
      <c r="Z262" s="19">
        <f t="shared" si="161"/>
        <v>0</v>
      </c>
    </row>
    <row r="263" spans="1:26" s="24" customFormat="1" hidden="1" outlineLevel="1" x14ac:dyDescent="0.25">
      <c r="A263" s="44"/>
      <c r="B263" s="11" t="str">
        <f>CONCATENATE("          ", "9150", " - ", "MISC. INCOME")</f>
        <v xml:space="preserve">          9150 - MISC. INCOME</v>
      </c>
      <c r="C263" s="11"/>
      <c r="D263" s="2">
        <f>--44644.47</f>
        <v>44644.47</v>
      </c>
      <c r="E263" s="2"/>
      <c r="F263" s="19">
        <f t="shared" si="154"/>
        <v>5.4861509387622902E-2</v>
      </c>
      <c r="G263" s="2"/>
      <c r="H263" s="2">
        <v>26038</v>
      </c>
      <c r="I263" s="2"/>
      <c r="J263" s="19">
        <f t="shared" si="155"/>
        <v>2.1933829549934464E-2</v>
      </c>
      <c r="K263" s="2"/>
      <c r="L263" s="2">
        <f t="shared" si="156"/>
        <v>18606.47</v>
      </c>
      <c r="M263" s="2"/>
      <c r="N263" s="19">
        <f t="shared" si="157"/>
        <v>0.71458906213994933</v>
      </c>
      <c r="O263" s="11"/>
      <c r="P263" s="2">
        <f>--348536.83</f>
        <v>348536.83</v>
      </c>
      <c r="Q263" s="2"/>
      <c r="R263" s="19">
        <f t="shared" si="158"/>
        <v>4.3757708499423995E-2</v>
      </c>
      <c r="S263" s="2"/>
      <c r="T263" s="2">
        <v>242132</v>
      </c>
      <c r="U263" s="2"/>
      <c r="V263" s="19">
        <f t="shared" si="159"/>
        <v>1.7499992772540277E-2</v>
      </c>
      <c r="W263" s="2"/>
      <c r="X263" s="2">
        <f t="shared" si="160"/>
        <v>106404.83000000002</v>
      </c>
      <c r="Y263" s="2"/>
      <c r="Z263" s="19">
        <f t="shared" si="161"/>
        <v>0.43944968033964954</v>
      </c>
    </row>
    <row r="264" spans="1:26" s="24" customFormat="1" hidden="1" outlineLevel="1" x14ac:dyDescent="0.25">
      <c r="A264" s="44"/>
      <c r="B264" s="11" t="str">
        <f>CONCATENATE("          ", "9151", " - ", "MISC. INCOME")</f>
        <v xml:space="preserve">          9151 - MISC. INCOME</v>
      </c>
      <c r="C264" s="11"/>
      <c r="D264" s="2">
        <f>-2282.24</f>
        <v>-2282.2399999999998</v>
      </c>
      <c r="E264" s="2"/>
      <c r="F264" s="19">
        <f t="shared" si="154"/>
        <v>-2.80453841617581E-3</v>
      </c>
      <c r="G264" s="2"/>
      <c r="H264" s="2">
        <v>195920</v>
      </c>
      <c r="I264" s="2"/>
      <c r="J264" s="19">
        <f t="shared" si="155"/>
        <v>0.16503863143955602</v>
      </c>
      <c r="K264" s="2"/>
      <c r="L264" s="2">
        <f t="shared" si="156"/>
        <v>-198202.23999999999</v>
      </c>
      <c r="M264" s="2"/>
      <c r="N264" s="19">
        <f t="shared" si="157"/>
        <v>-1.0116488362596978</v>
      </c>
      <c r="O264" s="11"/>
      <c r="P264" s="2">
        <f>--295628.46</f>
        <v>295628.46000000002</v>
      </c>
      <c r="Q264" s="2"/>
      <c r="R264" s="19">
        <f t="shared" si="158"/>
        <v>3.7115228186397481E-2</v>
      </c>
      <c r="S264" s="2"/>
      <c r="T264" s="2">
        <v>677793</v>
      </c>
      <c r="U264" s="2"/>
      <c r="V264" s="19">
        <f t="shared" si="159"/>
        <v>4.8987216069244846E-2</v>
      </c>
      <c r="W264" s="2"/>
      <c r="X264" s="2">
        <f t="shared" si="160"/>
        <v>-382164.54</v>
      </c>
      <c r="Y264" s="2"/>
      <c r="Z264" s="19">
        <f t="shared" si="161"/>
        <v>-0.56383665809472805</v>
      </c>
    </row>
    <row r="265" spans="1:26" s="24" customFormat="1" hidden="1" outlineLevel="1" x14ac:dyDescent="0.25">
      <c r="A265" s="44"/>
      <c r="B265" s="11" t="str">
        <f>CONCATENATE("          ", "9152", " - ", "MISC. INCOME")</f>
        <v xml:space="preserve">          9152 - MISC. INCOME</v>
      </c>
      <c r="C265" s="11"/>
      <c r="D265" s="2">
        <f>--397.11</f>
        <v>397.11</v>
      </c>
      <c r="E265" s="2"/>
      <c r="F265" s="19">
        <f t="shared" si="154"/>
        <v>4.8798997933941049E-4</v>
      </c>
      <c r="G265" s="2"/>
      <c r="H265" s="2"/>
      <c r="I265" s="2"/>
      <c r="J265" s="19">
        <f t="shared" si="155"/>
        <v>0</v>
      </c>
      <c r="K265" s="2"/>
      <c r="L265" s="2">
        <f t="shared" si="156"/>
        <v>397.11</v>
      </c>
      <c r="M265" s="2"/>
      <c r="N265" s="19">
        <f t="shared" si="157"/>
        <v>0</v>
      </c>
      <c r="O265" s="11"/>
      <c r="P265" s="2">
        <f>--3710.56</f>
        <v>3710.56</v>
      </c>
      <c r="Q265" s="2"/>
      <c r="R265" s="19">
        <f t="shared" si="158"/>
        <v>4.6584919834619109E-4</v>
      </c>
      <c r="S265" s="2"/>
      <c r="T265" s="2"/>
      <c r="U265" s="2"/>
      <c r="V265" s="19">
        <f t="shared" si="159"/>
        <v>0</v>
      </c>
      <c r="W265" s="2"/>
      <c r="X265" s="2">
        <f t="shared" si="160"/>
        <v>3710.56</v>
      </c>
      <c r="Y265" s="2"/>
      <c r="Z265" s="19">
        <f t="shared" si="161"/>
        <v>0</v>
      </c>
    </row>
    <row r="266" spans="1:26" s="24" customFormat="1" hidden="1" outlineLevel="1" x14ac:dyDescent="0.25">
      <c r="A266" s="44"/>
      <c r="B266" s="11" t="str">
        <f>CONCATENATE("          ", "9160", " - ", "MISC. INCOME")</f>
        <v xml:space="preserve">          9160 - MISC. INCOME</v>
      </c>
      <c r="C266" s="11"/>
      <c r="D266" s="2">
        <f>0</f>
        <v>0</v>
      </c>
      <c r="E266" s="2"/>
      <c r="F266" s="19">
        <f t="shared" si="154"/>
        <v>0</v>
      </c>
      <c r="G266" s="2"/>
      <c r="H266" s="2">
        <v>1321</v>
      </c>
      <c r="I266" s="2"/>
      <c r="J266" s="19">
        <f t="shared" si="155"/>
        <v>1.1127808908312246E-3</v>
      </c>
      <c r="K266" s="2"/>
      <c r="L266" s="2">
        <f t="shared" si="156"/>
        <v>-1321</v>
      </c>
      <c r="M266" s="2"/>
      <c r="N266" s="19">
        <f t="shared" si="157"/>
        <v>-1</v>
      </c>
      <c r="O266" s="11"/>
      <c r="P266" s="2">
        <f>--12882.96</f>
        <v>12882.96</v>
      </c>
      <c r="Q266" s="2"/>
      <c r="R266" s="19">
        <f t="shared" si="158"/>
        <v>1.6174153196083733E-3</v>
      </c>
      <c r="S266" s="2"/>
      <c r="T266" s="2">
        <v>9451</v>
      </c>
      <c r="U266" s="2"/>
      <c r="V266" s="19">
        <f t="shared" si="159"/>
        <v>6.8306721826639257E-4</v>
      </c>
      <c r="W266" s="2"/>
      <c r="X266" s="2">
        <f t="shared" si="160"/>
        <v>3431.9599999999991</v>
      </c>
      <c r="Y266" s="2"/>
      <c r="Z266" s="19">
        <f t="shared" si="161"/>
        <v>0.36313194370966029</v>
      </c>
    </row>
    <row r="267" spans="1:26" s="24" customFormat="1" hidden="1" outlineLevel="1" x14ac:dyDescent="0.25">
      <c r="A267" s="44"/>
      <c r="B267" s="11" t="str">
        <f>CONCATENATE("          ", "9163", " - ", "MISC. INCOME")</f>
        <v xml:space="preserve">          9163 - MISC. INCOME</v>
      </c>
      <c r="C267" s="11"/>
      <c r="D267" s="2">
        <f>--175014.7</f>
        <v>175014.7</v>
      </c>
      <c r="E267" s="2"/>
      <c r="F267" s="19">
        <f t="shared" si="154"/>
        <v>0.21506741164184515</v>
      </c>
      <c r="G267" s="2"/>
      <c r="H267" s="2"/>
      <c r="I267" s="2"/>
      <c r="J267" s="19">
        <f t="shared" si="155"/>
        <v>0</v>
      </c>
      <c r="K267" s="2"/>
      <c r="L267" s="2">
        <f t="shared" si="156"/>
        <v>175014.7</v>
      </c>
      <c r="M267" s="2"/>
      <c r="N267" s="19">
        <f t="shared" si="157"/>
        <v>0</v>
      </c>
      <c r="O267" s="11"/>
      <c r="P267" s="2">
        <f>--346434.46</f>
        <v>346434.46</v>
      </c>
      <c r="Q267" s="2"/>
      <c r="R267" s="19">
        <f t="shared" si="158"/>
        <v>4.3493762523849663E-2</v>
      </c>
      <c r="S267" s="2"/>
      <c r="T267" s="2"/>
      <c r="U267" s="2"/>
      <c r="V267" s="19">
        <f t="shared" si="159"/>
        <v>0</v>
      </c>
      <c r="W267" s="2"/>
      <c r="X267" s="2">
        <f t="shared" si="160"/>
        <v>346434.46</v>
      </c>
      <c r="Y267" s="2"/>
      <c r="Z267" s="19">
        <f t="shared" si="161"/>
        <v>0</v>
      </c>
    </row>
    <row r="268" spans="1:26" s="24" customFormat="1" hidden="1" outlineLevel="1" x14ac:dyDescent="0.25">
      <c r="A268" s="44"/>
      <c r="B268" s="11" t="str">
        <f>CONCATENATE("          ", "9165", " - ", "OTHER INCOME")</f>
        <v xml:space="preserve">          9165 - OTHER INCOME</v>
      </c>
      <c r="C268" s="11"/>
      <c r="D268" s="2">
        <f>0</f>
        <v>0</v>
      </c>
      <c r="E268" s="2"/>
      <c r="F268" s="19">
        <f t="shared" si="154"/>
        <v>0</v>
      </c>
      <c r="G268" s="2"/>
      <c r="H268" s="2"/>
      <c r="I268" s="2"/>
      <c r="J268" s="19">
        <f t="shared" si="155"/>
        <v>0</v>
      </c>
      <c r="K268" s="2"/>
      <c r="L268" s="2">
        <f t="shared" si="156"/>
        <v>0</v>
      </c>
      <c r="M268" s="2"/>
      <c r="N268" s="19">
        <f t="shared" si="157"/>
        <v>0</v>
      </c>
      <c r="O268" s="11"/>
      <c r="P268" s="2">
        <f>--3138.21</f>
        <v>3138.21</v>
      </c>
      <c r="Q268" s="2"/>
      <c r="R268" s="19">
        <f t="shared" si="158"/>
        <v>3.939924466231513E-4</v>
      </c>
      <c r="S268" s="2"/>
      <c r="T268" s="2"/>
      <c r="U268" s="2"/>
      <c r="V268" s="19">
        <f t="shared" si="159"/>
        <v>0</v>
      </c>
      <c r="W268" s="2"/>
      <c r="X268" s="2">
        <f t="shared" si="160"/>
        <v>3138.21</v>
      </c>
      <c r="Y268" s="2"/>
      <c r="Z268" s="19">
        <f t="shared" si="161"/>
        <v>0</v>
      </c>
    </row>
    <row r="269" spans="1:26" x14ac:dyDescent="0.25">
      <c r="A269" s="9"/>
      <c r="B269" s="10"/>
      <c r="C269" s="10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O269" s="10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10"/>
      <c r="B270" s="29" t="s">
        <v>277</v>
      </c>
      <c r="C270" s="29"/>
      <c r="D270" s="20">
        <f>+D152-D154+D261</f>
        <v>-81603.829999999783</v>
      </c>
      <c r="E270" s="14"/>
      <c r="F270" s="21">
        <f>IF(D$12=0,0,D270/D$12)</f>
        <v>-0.10027914511273113</v>
      </c>
      <c r="G270" s="14"/>
      <c r="H270" s="20">
        <f>+H152-H154+H261</f>
        <v>36588.735579753877</v>
      </c>
      <c r="I270" s="14"/>
      <c r="J270" s="21">
        <f>IF(H$12=0,0,H270/H$12)</f>
        <v>3.0821533514630312E-2</v>
      </c>
      <c r="K270" s="16"/>
      <c r="L270" s="20">
        <f>+D270-H270</f>
        <v>-118192.56557975366</v>
      </c>
      <c r="M270" s="16"/>
      <c r="N270" s="21">
        <f>IF(H270=0,0,L270/H270)</f>
        <v>-3.2302992630648517</v>
      </c>
      <c r="O270" s="28"/>
      <c r="P270" s="20">
        <f>+P152-P154+P261</f>
        <v>-2121477.4799999995</v>
      </c>
      <c r="Q270" s="14"/>
      <c r="R270" s="21">
        <f>IF(P$12=0,0,P270/P$12)</f>
        <v>-0.26634485990456896</v>
      </c>
      <c r="S270" s="14"/>
      <c r="T270" s="20">
        <f>+T152-T154+T261</f>
        <v>-1112809.9545949437</v>
      </c>
      <c r="U270" s="14"/>
      <c r="V270" s="21">
        <f>IF(T$12=0,0,T270/T$12)</f>
        <v>-8.0427891243711649E-2</v>
      </c>
      <c r="W270" s="16"/>
      <c r="X270" s="20">
        <f>+P270-T270</f>
        <v>-1008667.5254050558</v>
      </c>
      <c r="Y270" s="16"/>
      <c r="Z270" s="21">
        <f>IF(T270=0,0,X270/T270)</f>
        <v>0.9064149015203633</v>
      </c>
    </row>
    <row r="271" spans="1:26" x14ac:dyDescent="0.25">
      <c r="A271" s="9"/>
      <c r="B271" s="10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52"/>
      <c r="B272" s="10" t="s">
        <v>128</v>
      </c>
      <c r="C272" s="10"/>
      <c r="D272" s="4">
        <v>225320.12</v>
      </c>
      <c r="E272" s="4"/>
      <c r="F272" s="12">
        <f>IF(D$12=0,0,D272/D$12)</f>
        <v>0.27688539876496054</v>
      </c>
      <c r="G272" s="4"/>
      <c r="H272" s="4">
        <v>271223</v>
      </c>
      <c r="I272" s="4"/>
      <c r="J272" s="12">
        <f>IF(H$12=0,0,H272/H$12)</f>
        <v>0.22847219648290479</v>
      </c>
      <c r="K272" s="4"/>
      <c r="L272" s="4">
        <f>+D272-H272</f>
        <v>-45902.880000000005</v>
      </c>
      <c r="M272" s="4"/>
      <c r="N272" s="12">
        <f>IF(H272=0,0,L272/H272)</f>
        <v>-0.16924405378599899</v>
      </c>
      <c r="O272" s="10"/>
      <c r="P272" s="4">
        <v>1641550.35</v>
      </c>
      <c r="Q272" s="4"/>
      <c r="R272" s="12">
        <f>IF(P$12=0,0,P272/P$12)</f>
        <v>0.20609151033601653</v>
      </c>
      <c r="S272" s="4"/>
      <c r="T272" s="4">
        <v>2450764</v>
      </c>
      <c r="U272" s="4"/>
      <c r="V272" s="12">
        <f>IF(T$12=0,0,T272/T$12)</f>
        <v>0.17712798096576207</v>
      </c>
      <c r="W272" s="4"/>
      <c r="X272" s="4">
        <f>+P272-T272</f>
        <v>-809213.64999999991</v>
      </c>
      <c r="Y272" s="4"/>
      <c r="Z272" s="12">
        <f>IF(T272=0,0,X272/T272)</f>
        <v>-0.3301883208664726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9" t="s">
        <v>126</v>
      </c>
      <c r="C274" s="29"/>
      <c r="D274" s="34">
        <f>+D270-D272</f>
        <v>-306923.94999999978</v>
      </c>
      <c r="E274" s="14"/>
      <c r="F274" s="30">
        <f>IF(D$12=0,0,D274/D$12)</f>
        <v>-0.37716454387769166</v>
      </c>
      <c r="G274" s="14"/>
      <c r="H274" s="34">
        <f>+H270-H272</f>
        <v>-234634.26442024612</v>
      </c>
      <c r="I274" s="14"/>
      <c r="J274" s="30">
        <f>IF(H$12=0,0,H274/H$12)</f>
        <v>-0.19765066296827447</v>
      </c>
      <c r="K274" s="16"/>
      <c r="L274" s="34">
        <f>D274-H274</f>
        <v>-72289.685579753655</v>
      </c>
      <c r="M274" s="16"/>
      <c r="N274" s="30">
        <f>IF(H274=0,0,L274/H274)</f>
        <v>0.30809517850418405</v>
      </c>
      <c r="O274" s="28"/>
      <c r="P274" s="34">
        <f>+P270-P272</f>
        <v>-3763027.8299999996</v>
      </c>
      <c r="Q274" s="14"/>
      <c r="R274" s="30">
        <f>IF(P$12=0,0,P274/P$12)</f>
        <v>-0.47243637024058549</v>
      </c>
      <c r="S274" s="14"/>
      <c r="T274" s="34">
        <f>+T270-T272</f>
        <v>-3563573.9545949437</v>
      </c>
      <c r="U274" s="14"/>
      <c r="V274" s="30">
        <f>IF(T$12=0,0,T274/T$12)</f>
        <v>-0.25755587220947374</v>
      </c>
      <c r="W274" s="16"/>
      <c r="X274" s="34">
        <f>P274-T274</f>
        <v>-199453.87540505594</v>
      </c>
      <c r="Y274" s="16"/>
      <c r="Z274" s="30">
        <f>IF(T274=0,0,X274/T274)</f>
        <v>5.5970179922287318E-2</v>
      </c>
    </row>
    <row r="275" spans="1:26" ht="15.75" thickTop="1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52"/>
      <c r="B276" s="10" t="s">
        <v>184</v>
      </c>
      <c r="C276" s="10"/>
      <c r="D276" s="4">
        <f>--105259.22</f>
        <v>105259.22</v>
      </c>
      <c r="E276" s="4"/>
      <c r="F276" s="12">
        <f t="shared" ref="F276:F277" si="162">IF(D$12=0,0,D276/D$12)</f>
        <v>0.12934815188003942</v>
      </c>
      <c r="G276" s="4"/>
      <c r="H276" s="4">
        <f t="shared" ref="H276:H277" si="163">--15000</f>
        <v>15000</v>
      </c>
      <c r="I276" s="4"/>
      <c r="J276" s="12">
        <f t="shared" ref="J276:J277" si="164">IF(H$12=0,0,H276/H$12)</f>
        <v>1.2635664922383322E-2</v>
      </c>
      <c r="K276" s="4"/>
      <c r="L276" s="4">
        <f t="shared" ref="L276:L277" si="165">+D276-H276</f>
        <v>90259.22</v>
      </c>
      <c r="M276" s="4"/>
      <c r="N276" s="12">
        <f t="shared" ref="N276:N277" si="166">IF(H276=0,0,L276/H276)</f>
        <v>6.017281333333333</v>
      </c>
      <c r="O276" s="10"/>
      <c r="P276" s="4">
        <f>--2296813.19</f>
        <v>2296813.19</v>
      </c>
      <c r="Q276" s="4"/>
      <c r="R276" s="12">
        <f t="shared" ref="R276:R277" si="167">IF(P$12=0,0,P276/P$12)</f>
        <v>0.28835770970216296</v>
      </c>
      <c r="S276" s="4"/>
      <c r="T276" s="4">
        <f t="shared" ref="T276:T277" si="168">--135000</f>
        <v>135000</v>
      </c>
      <c r="U276" s="4"/>
      <c r="V276" s="12">
        <f t="shared" ref="V276:V277" si="169">IF(T$12=0,0,T276/T$12)</f>
        <v>9.7570706238454125E-3</v>
      </c>
      <c r="W276" s="4"/>
      <c r="X276" s="4">
        <f t="shared" ref="X276:X277" si="170">+P276-T276</f>
        <v>2161813.19</v>
      </c>
      <c r="Y276" s="4"/>
      <c r="Z276" s="12">
        <f t="shared" ref="Z276:Z277" si="171">IF(T276=0,0,X276/T276)</f>
        <v>16.013431037037037</v>
      </c>
    </row>
    <row r="277" spans="1:26" s="23" customFormat="1" x14ac:dyDescent="0.25">
      <c r="A277" s="52"/>
      <c r="B277" s="10" t="s">
        <v>82</v>
      </c>
      <c r="C277" s="10"/>
      <c r="D277" s="4">
        <f>--15480.93</f>
        <v>15480.93</v>
      </c>
      <c r="E277" s="4"/>
      <c r="F277" s="12">
        <f t="shared" si="162"/>
        <v>1.9023793686522274E-2</v>
      </c>
      <c r="G277" s="4"/>
      <c r="H277" s="4">
        <f t="shared" si="163"/>
        <v>15000</v>
      </c>
      <c r="I277" s="4"/>
      <c r="J277" s="12">
        <f t="shared" si="164"/>
        <v>1.2635664922383322E-2</v>
      </c>
      <c r="K277" s="4"/>
      <c r="L277" s="4">
        <f t="shared" si="165"/>
        <v>480.93000000000029</v>
      </c>
      <c r="M277" s="4"/>
      <c r="N277" s="12">
        <f t="shared" si="166"/>
        <v>3.2062000000000021E-2</v>
      </c>
      <c r="O277" s="10"/>
      <c r="P277" s="4">
        <f>--82536.19</f>
        <v>82536.19</v>
      </c>
      <c r="Q277" s="4"/>
      <c r="R277" s="12">
        <f t="shared" si="167"/>
        <v>1.0362160414074673E-2</v>
      </c>
      <c r="S277" s="4"/>
      <c r="T277" s="4">
        <f t="shared" si="168"/>
        <v>135000</v>
      </c>
      <c r="U277" s="4"/>
      <c r="V277" s="12">
        <f t="shared" si="169"/>
        <v>9.7570706238454125E-3</v>
      </c>
      <c r="W277" s="4"/>
      <c r="X277" s="4">
        <f t="shared" si="170"/>
        <v>-52463.81</v>
      </c>
      <c r="Y277" s="4"/>
      <c r="Z277" s="12">
        <f t="shared" si="171"/>
        <v>-0.38862081481481481</v>
      </c>
    </row>
    <row r="278" spans="1:26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ht="15.75" thickBot="1" x14ac:dyDescent="0.3">
      <c r="A279" s="10"/>
      <c r="B279" s="29" t="s">
        <v>294</v>
      </c>
      <c r="C279" s="29"/>
      <c r="D279" s="31">
        <f>SUM(D274:D278)</f>
        <v>-186183.79999999978</v>
      </c>
      <c r="E279" s="14"/>
      <c r="F279" s="35">
        <f>IF(D$12=0,0,D279/D$12)</f>
        <v>-0.22879259831112997</v>
      </c>
      <c r="G279" s="14"/>
      <c r="H279" s="31">
        <f>SUM(H274:H278)</f>
        <v>-204634.26442024612</v>
      </c>
      <c r="I279" s="14"/>
      <c r="J279" s="35">
        <f>IF(H$12=0,0,H279/H$12)</f>
        <v>-0.17237933312350784</v>
      </c>
      <c r="K279" s="16"/>
      <c r="L279" s="31">
        <f>+D279-H279</f>
        <v>18450.464420246339</v>
      </c>
      <c r="M279" s="16"/>
      <c r="N279" s="35">
        <f>IF(H279=0,0,L279/H279)</f>
        <v>-9.0163123328924205E-2</v>
      </c>
      <c r="O279" s="28"/>
      <c r="P279" s="31">
        <f>SUM(P274:P278)</f>
        <v>-1383678.4499999997</v>
      </c>
      <c r="Q279" s="14"/>
      <c r="R279" s="35">
        <f>IF(P$12=0,0,P279/P$12)</f>
        <v>-0.17371650012434783</v>
      </c>
      <c r="S279" s="14"/>
      <c r="T279" s="31">
        <f>SUM(T274:T278)</f>
        <v>-3293573.9545949437</v>
      </c>
      <c r="U279" s="14"/>
      <c r="V279" s="35">
        <f>IF(T$12=0,0,T279/T$12)</f>
        <v>-0.23804173096178291</v>
      </c>
      <c r="W279" s="16"/>
      <c r="X279" s="31">
        <f>+P279-T279</f>
        <v>1909895.504594944</v>
      </c>
      <c r="Y279" s="16"/>
      <c r="Z279" s="35">
        <f>IF(T279=0,0,X279/T279)</f>
        <v>-0.57988541654891435</v>
      </c>
    </row>
    <row r="280" spans="1:26" ht="15.75" thickTop="1" x14ac:dyDescent="0.25">
      <c r="A280" s="9"/>
      <c r="C280" s="9"/>
      <c r="D280" s="18"/>
      <c r="E280" s="18"/>
      <c r="G280" s="18"/>
      <c r="H280" s="18"/>
      <c r="I280" s="18"/>
      <c r="J280" s="43"/>
      <c r="K280" s="18"/>
      <c r="L280" s="18"/>
      <c r="M280" s="18"/>
      <c r="P280" s="18"/>
      <c r="Q280" s="18"/>
      <c r="R280" s="43"/>
      <c r="S280" s="18"/>
      <c r="T280" s="18"/>
      <c r="U280" s="18"/>
      <c r="V280" s="43"/>
      <c r="W280" s="18"/>
      <c r="X280" s="18"/>
    </row>
    <row r="281" spans="1:26" x14ac:dyDescent="0.25">
      <c r="A281" s="9"/>
      <c r="B281" s="56">
        <v>44295.961773761577</v>
      </c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  <row r="282" spans="1:26" x14ac:dyDescent="0.25">
      <c r="A282" s="9"/>
      <c r="B282" s="53" t="s">
        <v>56</v>
      </c>
      <c r="D282" s="18"/>
      <c r="E282" s="18"/>
      <c r="G282" s="18"/>
      <c r="H282" s="18"/>
      <c r="I282" s="18"/>
      <c r="J282" s="43"/>
      <c r="K282" s="18"/>
      <c r="L282" s="18"/>
      <c r="M282" s="18"/>
      <c r="P282" s="18"/>
      <c r="Q282" s="18"/>
      <c r="R282" s="43"/>
      <c r="S282" s="18"/>
      <c r="T282" s="18"/>
      <c r="U282" s="18"/>
      <c r="V282" s="43"/>
      <c r="W282" s="18"/>
      <c r="X282" s="18"/>
    </row>
    <row r="283" spans="1:26" x14ac:dyDescent="0.25">
      <c r="A283" s="9"/>
      <c r="B283" s="54"/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277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126</v>
      </c>
      <c r="C26" s="29"/>
      <c r="D26" s="34">
        <f>+D22-D24</f>
        <v>0</v>
      </c>
      <c r="E26" s="14"/>
      <c r="F26" s="30">
        <f>IF(D$12=0,0,D26/D$12)</f>
        <v>0</v>
      </c>
      <c r="G26" s="14"/>
      <c r="H26" s="34">
        <f>+H22-H24</f>
        <v>0</v>
      </c>
      <c r="I26" s="14"/>
      <c r="J26" s="30">
        <f>IF(H$12=0,0,H26/H$12)</f>
        <v>0</v>
      </c>
      <c r="K26" s="16"/>
      <c r="L26" s="34">
        <f>D26-H26</f>
        <v>0</v>
      </c>
      <c r="M26" s="16"/>
      <c r="N26" s="30">
        <f>IF(H26=0,0,L26/H26)</f>
        <v>0</v>
      </c>
      <c r="O26" s="28"/>
      <c r="P26" s="34">
        <f>+P22-P24</f>
        <v>0</v>
      </c>
      <c r="Q26" s="14"/>
      <c r="R26" s="30">
        <f>IF(P$12=0,0,P26/P$12)</f>
        <v>0</v>
      </c>
      <c r="S26" s="14"/>
      <c r="T26" s="34">
        <f>+T22-T24</f>
        <v>0</v>
      </c>
      <c r="U26" s="14"/>
      <c r="V26" s="30">
        <f>IF(T$12=0,0,T26/T$12)</f>
        <v>0</v>
      </c>
      <c r="W26" s="16"/>
      <c r="X26" s="34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--105259.22</f>
        <v>105259.22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90259.22</v>
      </c>
      <c r="M28" s="4"/>
      <c r="N28" s="12">
        <f t="shared" ref="N28:N29" si="4">IF(H28=0,0,L28/H28)</f>
        <v>6.017281333333333</v>
      </c>
      <c r="O28" s="10"/>
      <c r="P28" s="4">
        <f>--2296813.19</f>
        <v>2296813.19</v>
      </c>
      <c r="Q28" s="4"/>
      <c r="R28" s="12">
        <f t="shared" ref="R28:R29" si="5">IF(P$12=0,0,P28/P$12)</f>
        <v>0</v>
      </c>
      <c r="S28" s="4"/>
      <c r="T28" s="4">
        <f t="shared" ref="T28:T29" si="6">--135000</f>
        <v>135000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2161813.19</v>
      </c>
      <c r="Y28" s="4"/>
      <c r="Z28" s="12">
        <f t="shared" ref="Z28:Z29" si="9">IF(T28=0,0,X28/T28)</f>
        <v>16.013431037037037</v>
      </c>
    </row>
    <row r="29" spans="1:26" s="23" customFormat="1" x14ac:dyDescent="0.25">
      <c r="A29" s="52"/>
      <c r="B29" s="10" t="s">
        <v>82</v>
      </c>
      <c r="C29" s="10"/>
      <c r="D29" s="4">
        <f>--15480.93</f>
        <v>15480.93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480.93000000000029</v>
      </c>
      <c r="M29" s="4"/>
      <c r="N29" s="12">
        <f t="shared" si="4"/>
        <v>3.2062000000000021E-2</v>
      </c>
      <c r="O29" s="10"/>
      <c r="P29" s="4">
        <f>--82536.19</f>
        <v>82536.19</v>
      </c>
      <c r="Q29" s="4"/>
      <c r="R29" s="12">
        <f t="shared" si="5"/>
        <v>0</v>
      </c>
      <c r="S29" s="4"/>
      <c r="T29" s="4">
        <f t="shared" si="6"/>
        <v>135000</v>
      </c>
      <c r="U29" s="4"/>
      <c r="V29" s="12">
        <f t="shared" si="7"/>
        <v>0</v>
      </c>
      <c r="W29" s="4"/>
      <c r="X29" s="4">
        <f t="shared" si="8"/>
        <v>-52463.81</v>
      </c>
      <c r="Y29" s="4"/>
      <c r="Z29" s="12">
        <f t="shared" si="9"/>
        <v>-0.38862081481481481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294</v>
      </c>
      <c r="C31" s="29"/>
      <c r="D31" s="31">
        <f>SUM(D26:D30)</f>
        <v>120740.15</v>
      </c>
      <c r="E31" s="14"/>
      <c r="F31" s="35">
        <f>IF(D$12=0,0,D31/D$12)</f>
        <v>0</v>
      </c>
      <c r="G31" s="14"/>
      <c r="H31" s="31">
        <f>SUM(H26:H30)</f>
        <v>30000</v>
      </c>
      <c r="I31" s="14"/>
      <c r="J31" s="35">
        <f>IF(H$12=0,0,H31/H$12)</f>
        <v>0</v>
      </c>
      <c r="K31" s="16"/>
      <c r="L31" s="31">
        <f>+D31-H31</f>
        <v>90740.15</v>
      </c>
      <c r="M31" s="16"/>
      <c r="N31" s="35">
        <f>IF(H31=0,0,L31/H31)</f>
        <v>3.0246716666666664</v>
      </c>
      <c r="O31" s="28"/>
      <c r="P31" s="31">
        <f>SUM(P26:P30)</f>
        <v>2379349.38</v>
      </c>
      <c r="Q31" s="14"/>
      <c r="R31" s="35">
        <f>IF(P$12=0,0,P31/P$12)</f>
        <v>0</v>
      </c>
      <c r="S31" s="14"/>
      <c r="T31" s="31">
        <f>SUM(T26:T30)</f>
        <v>270000</v>
      </c>
      <c r="U31" s="14"/>
      <c r="V31" s="35">
        <f>IF(T$12=0,0,T31/T$12)</f>
        <v>0</v>
      </c>
      <c r="W31" s="16"/>
      <c r="X31" s="31">
        <f>+P31-T31</f>
        <v>2109349.38</v>
      </c>
      <c r="Y31" s="16"/>
      <c r="Z31" s="35">
        <f>IF(T31=0,0,X31/T31)</f>
        <v>7.8124051111111106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44295.961789930552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277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126</v>
      </c>
      <c r="C26" s="29"/>
      <c r="D26" s="34">
        <f>+D22-D24</f>
        <v>0</v>
      </c>
      <c r="E26" s="14"/>
      <c r="F26" s="30">
        <f>IF(D$12=0,0,D26/D$12)</f>
        <v>0</v>
      </c>
      <c r="G26" s="14"/>
      <c r="H26" s="34">
        <f>+H22-H24</f>
        <v>0</v>
      </c>
      <c r="I26" s="14"/>
      <c r="J26" s="30">
        <f>IF(H$12=0,0,H26/H$12)</f>
        <v>0</v>
      </c>
      <c r="K26" s="16"/>
      <c r="L26" s="34">
        <f>D26-H26</f>
        <v>0</v>
      </c>
      <c r="M26" s="16"/>
      <c r="N26" s="30">
        <f>IF(H26=0,0,L26/H26)</f>
        <v>0</v>
      </c>
      <c r="O26" s="28"/>
      <c r="P26" s="34">
        <f>+P22-P24</f>
        <v>0</v>
      </c>
      <c r="Q26" s="14"/>
      <c r="R26" s="30">
        <f>IF(P$12=0,0,P26/P$12)</f>
        <v>0</v>
      </c>
      <c r="S26" s="14"/>
      <c r="T26" s="34">
        <f>+T22-T24</f>
        <v>0</v>
      </c>
      <c r="U26" s="14"/>
      <c r="V26" s="30">
        <f>IF(T$12=0,0,T26/T$12)</f>
        <v>0</v>
      </c>
      <c r="W26" s="16"/>
      <c r="X26" s="34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--105259.22</f>
        <v>105259.22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90259.22</v>
      </c>
      <c r="M28" s="4"/>
      <c r="N28" s="12">
        <f t="shared" ref="N28:N29" si="4">IF(H28=0,0,L28/H28)</f>
        <v>6.017281333333333</v>
      </c>
      <c r="O28" s="10"/>
      <c r="P28" s="4">
        <f>--2296813.19</f>
        <v>2296813.19</v>
      </c>
      <c r="Q28" s="4"/>
      <c r="R28" s="12">
        <f t="shared" ref="R28:R29" si="5">IF(P$12=0,0,P28/P$12)</f>
        <v>0</v>
      </c>
      <c r="S28" s="4"/>
      <c r="T28" s="4">
        <f t="shared" ref="T28:T29" si="6">--135000</f>
        <v>135000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2161813.19</v>
      </c>
      <c r="Y28" s="4"/>
      <c r="Z28" s="12">
        <f t="shared" ref="Z28:Z29" si="9">IF(T28=0,0,X28/T28)</f>
        <v>16.013431037037037</v>
      </c>
    </row>
    <row r="29" spans="1:26" s="23" customFormat="1" x14ac:dyDescent="0.25">
      <c r="A29" s="52"/>
      <c r="B29" s="10" t="s">
        <v>82</v>
      </c>
      <c r="C29" s="10"/>
      <c r="D29" s="4">
        <f>--15480.93</f>
        <v>15480.93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480.93000000000029</v>
      </c>
      <c r="M29" s="4"/>
      <c r="N29" s="12">
        <f t="shared" si="4"/>
        <v>3.2062000000000021E-2</v>
      </c>
      <c r="O29" s="10"/>
      <c r="P29" s="4">
        <f>--82536.19</f>
        <v>82536.19</v>
      </c>
      <c r="Q29" s="4"/>
      <c r="R29" s="12">
        <f t="shared" si="5"/>
        <v>0</v>
      </c>
      <c r="S29" s="4"/>
      <c r="T29" s="4">
        <f t="shared" si="6"/>
        <v>135000</v>
      </c>
      <c r="U29" s="4"/>
      <c r="V29" s="12">
        <f t="shared" si="7"/>
        <v>0</v>
      </c>
      <c r="W29" s="4"/>
      <c r="X29" s="4">
        <f t="shared" si="8"/>
        <v>-52463.81</v>
      </c>
      <c r="Y29" s="4"/>
      <c r="Z29" s="12">
        <f t="shared" si="9"/>
        <v>-0.38862081481481481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294</v>
      </c>
      <c r="C31" s="29"/>
      <c r="D31" s="31">
        <f>SUM(D26:D30)</f>
        <v>120740.15</v>
      </c>
      <c r="E31" s="14"/>
      <c r="F31" s="35">
        <f>IF(D$12=0,0,D31/D$12)</f>
        <v>0</v>
      </c>
      <c r="G31" s="14"/>
      <c r="H31" s="31">
        <f>SUM(H26:H30)</f>
        <v>30000</v>
      </c>
      <c r="I31" s="14"/>
      <c r="J31" s="35">
        <f>IF(H$12=0,0,H31/H$12)</f>
        <v>0</v>
      </c>
      <c r="K31" s="16"/>
      <c r="L31" s="31">
        <f>+D31-H31</f>
        <v>90740.15</v>
      </c>
      <c r="M31" s="16"/>
      <c r="N31" s="35">
        <f>IF(H31=0,0,L31/H31)</f>
        <v>3.0246716666666664</v>
      </c>
      <c r="O31" s="28"/>
      <c r="P31" s="31">
        <f>SUM(P26:P30)</f>
        <v>2379349.38</v>
      </c>
      <c r="Q31" s="14"/>
      <c r="R31" s="35">
        <f>IF(P$12=0,0,P31/P$12)</f>
        <v>0</v>
      </c>
      <c r="S31" s="14"/>
      <c r="T31" s="31">
        <f>SUM(T26:T30)</f>
        <v>270000</v>
      </c>
      <c r="U31" s="14"/>
      <c r="V31" s="35">
        <f>IF(T$12=0,0,T31/T$12)</f>
        <v>0</v>
      </c>
      <c r="W31" s="16"/>
      <c r="X31" s="31">
        <f>+P31-T31</f>
        <v>2109349.38</v>
      </c>
      <c r="Y31" s="16"/>
      <c r="Z31" s="35">
        <f>IF(T31=0,0,X31/T31)</f>
        <v>7.8124051111111106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44295.961797766206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8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225320.12000000008</v>
      </c>
      <c r="E19" s="22"/>
      <c r="F19" s="32">
        <f t="shared" ref="F19:F31" si="4">IF(D$12=0,0,D19/D$12)</f>
        <v>0</v>
      </c>
      <c r="G19" s="22"/>
      <c r="H19" s="22">
        <f>SUM(OSRRefH22x_0)</f>
        <v>271222.33134153846</v>
      </c>
      <c r="I19" s="22"/>
      <c r="J19" s="32">
        <f t="shared" ref="J19:J31" si="5">IF(H$12=0,0,H19/H$12)</f>
        <v>0</v>
      </c>
      <c r="K19" s="4"/>
      <c r="L19" s="22">
        <f t="shared" ref="L19:L31" si="6">+D19-H19</f>
        <v>-45902.211341538379</v>
      </c>
      <c r="M19" s="4"/>
      <c r="N19" s="32">
        <f t="shared" ref="N19:N31" si="7">IF(H19=0,0,L19/H19)</f>
        <v>-0.16924200568033509</v>
      </c>
      <c r="O19" s="10"/>
      <c r="P19" s="22">
        <f>SUM(OSRRefP22x_0)</f>
        <v>1641550.3499999999</v>
      </c>
      <c r="Q19" s="22"/>
      <c r="R19" s="32">
        <f t="shared" ref="R19:R31" si="8">IF(P$12=0,0,P19/P$12)</f>
        <v>0</v>
      </c>
      <c r="S19" s="22"/>
      <c r="T19" s="22">
        <f>SUM(OSRRefT22x_0)</f>
        <v>2434044.1199869229</v>
      </c>
      <c r="U19" s="22"/>
      <c r="V19" s="32">
        <f t="shared" ref="V19:V31" si="9">IF(T$12=0,0,T19/T$12)</f>
        <v>0</v>
      </c>
      <c r="W19" s="4"/>
      <c r="X19" s="22">
        <f t="shared" ref="X19:X31" si="10">+P19-T19</f>
        <v>-792493.76998692309</v>
      </c>
      <c r="Y19" s="4"/>
      <c r="Z19" s="32">
        <f t="shared" ref="Z19:Z31" si="11">IF(T19=0,0,X19/T19)</f>
        <v>-0.3255872658508675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77919.67</v>
      </c>
      <c r="E20" s="1"/>
      <c r="F20" s="5">
        <f t="shared" si="4"/>
        <v>0</v>
      </c>
      <c r="G20" s="1"/>
      <c r="H20" s="1">
        <f>SUM(OSRRefH22_0x_0)</f>
        <v>77432.11595692308</v>
      </c>
      <c r="I20" s="1"/>
      <c r="J20" s="5">
        <f t="shared" si="5"/>
        <v>0</v>
      </c>
      <c r="K20" s="1"/>
      <c r="L20" s="1">
        <f t="shared" si="6"/>
        <v>487.55404307691788</v>
      </c>
      <c r="M20" s="1"/>
      <c r="N20" s="5">
        <f t="shared" si="7"/>
        <v>6.2965351915238018E-3</v>
      </c>
      <c r="O20" s="13"/>
      <c r="P20" s="1">
        <f>SUM(OSRRefP22_0x_0)</f>
        <v>339910.97999999992</v>
      </c>
      <c r="Q20" s="1"/>
      <c r="R20" s="5">
        <f t="shared" si="8"/>
        <v>0</v>
      </c>
      <c r="S20" s="1"/>
      <c r="T20" s="1">
        <f>SUM(OSRRefT22_0x_0)</f>
        <v>718354.31998692302</v>
      </c>
      <c r="U20" s="1"/>
      <c r="V20" s="5">
        <f t="shared" si="9"/>
        <v>0</v>
      </c>
      <c r="W20" s="1"/>
      <c r="X20" s="1">
        <f t="shared" si="10"/>
        <v>-378443.33998692309</v>
      </c>
      <c r="Y20" s="1"/>
      <c r="Z20" s="5">
        <f t="shared" si="11"/>
        <v>-0.52681988464106722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6995.86</v>
      </c>
      <c r="E21" s="2"/>
      <c r="F21" s="6">
        <f t="shared" si="4"/>
        <v>0</v>
      </c>
      <c r="G21" s="2"/>
      <c r="H21" s="7">
        <v>6961.40427692308</v>
      </c>
      <c r="I21" s="2"/>
      <c r="J21" s="6">
        <f t="shared" si="5"/>
        <v>0</v>
      </c>
      <c r="K21" s="2"/>
      <c r="L21" s="7">
        <f t="shared" si="6"/>
        <v>34.455723076919639</v>
      </c>
      <c r="M21" s="2"/>
      <c r="N21" s="6">
        <f t="shared" si="7"/>
        <v>4.9495362869729732E-3</v>
      </c>
      <c r="O21" s="11"/>
      <c r="P21" s="7">
        <v>68910.179999999993</v>
      </c>
      <c r="Q21" s="2"/>
      <c r="R21" s="6">
        <f t="shared" si="8"/>
        <v>0</v>
      </c>
      <c r="S21" s="2"/>
      <c r="T21" s="7">
        <v>68247.54075</v>
      </c>
      <c r="U21" s="2"/>
      <c r="V21" s="6">
        <f t="shared" si="9"/>
        <v>0</v>
      </c>
      <c r="W21" s="2"/>
      <c r="X21" s="7">
        <f t="shared" si="10"/>
        <v>662.6392499999929</v>
      </c>
      <c r="Y21" s="2"/>
      <c r="Z21" s="6">
        <f t="shared" si="11"/>
        <v>9.7093498566831939E-3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584.14</v>
      </c>
      <c r="E22" s="2"/>
      <c r="F22" s="6">
        <f t="shared" si="4"/>
        <v>0</v>
      </c>
      <c r="G22" s="2"/>
      <c r="H22" s="7">
        <v>606.99631384615395</v>
      </c>
      <c r="I22" s="2"/>
      <c r="J22" s="6">
        <f t="shared" si="5"/>
        <v>0</v>
      </c>
      <c r="K22" s="2"/>
      <c r="L22" s="7">
        <f t="shared" si="6"/>
        <v>-22.856313846153967</v>
      </c>
      <c r="M22" s="2"/>
      <c r="N22" s="6">
        <f t="shared" si="7"/>
        <v>-3.7654781956298677E-2</v>
      </c>
      <c r="O22" s="11"/>
      <c r="P22" s="7">
        <v>5886.92</v>
      </c>
      <c r="Q22" s="2"/>
      <c r="R22" s="6">
        <f t="shared" si="8"/>
        <v>0</v>
      </c>
      <c r="S22" s="2"/>
      <c r="T22" s="7">
        <v>5931.3619200000003</v>
      </c>
      <c r="U22" s="2"/>
      <c r="V22" s="6">
        <f t="shared" si="9"/>
        <v>0</v>
      </c>
      <c r="W22" s="2"/>
      <c r="X22" s="7">
        <f t="shared" si="10"/>
        <v>-44.441920000000209</v>
      </c>
      <c r="Y22" s="2"/>
      <c r="Z22" s="6">
        <f t="shared" si="11"/>
        <v>-7.4927007657627828E-3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22431.15</v>
      </c>
      <c r="E23" s="2"/>
      <c r="F23" s="6">
        <f t="shared" si="4"/>
        <v>0</v>
      </c>
      <c r="G23" s="2"/>
      <c r="H23" s="7">
        <v>20373.557692307699</v>
      </c>
      <c r="I23" s="2"/>
      <c r="J23" s="6">
        <f t="shared" si="5"/>
        <v>0</v>
      </c>
      <c r="K23" s="2"/>
      <c r="L23" s="7">
        <f t="shared" si="6"/>
        <v>2057.5923076923027</v>
      </c>
      <c r="M23" s="2"/>
      <c r="N23" s="6">
        <f t="shared" si="7"/>
        <v>0.10099327465370338</v>
      </c>
      <c r="O23" s="11"/>
      <c r="P23" s="7">
        <v>205261.23</v>
      </c>
      <c r="Q23" s="2"/>
      <c r="R23" s="6">
        <f t="shared" si="8"/>
        <v>0</v>
      </c>
      <c r="S23" s="2"/>
      <c r="T23" s="7">
        <v>189884.42307692301</v>
      </c>
      <c r="U23" s="2"/>
      <c r="V23" s="6">
        <f t="shared" si="9"/>
        <v>0</v>
      </c>
      <c r="W23" s="2"/>
      <c r="X23" s="7">
        <f t="shared" si="10"/>
        <v>15376.806923077005</v>
      </c>
      <c r="Y23" s="2"/>
      <c r="Z23" s="6">
        <f t="shared" si="11"/>
        <v>8.0979822746428204E-2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240.46</v>
      </c>
      <c r="E24" s="2"/>
      <c r="F24" s="6">
        <f t="shared" si="4"/>
        <v>0</v>
      </c>
      <c r="G24" s="2"/>
      <c r="H24" s="7">
        <v>262.75152000000003</v>
      </c>
      <c r="I24" s="2"/>
      <c r="J24" s="6">
        <f t="shared" si="5"/>
        <v>0</v>
      </c>
      <c r="K24" s="2"/>
      <c r="L24" s="7">
        <f t="shared" si="6"/>
        <v>-22.29152000000002</v>
      </c>
      <c r="M24" s="2"/>
      <c r="N24" s="6">
        <f t="shared" si="7"/>
        <v>-8.4838786089610513E-2</v>
      </c>
      <c r="O24" s="11"/>
      <c r="P24" s="7">
        <v>2541.8200000000002</v>
      </c>
      <c r="Q24" s="2"/>
      <c r="R24" s="6">
        <f t="shared" si="8"/>
        <v>0</v>
      </c>
      <c r="S24" s="2"/>
      <c r="T24" s="7">
        <v>2565.6342399999999</v>
      </c>
      <c r="U24" s="2"/>
      <c r="V24" s="6">
        <f t="shared" si="9"/>
        <v>0</v>
      </c>
      <c r="W24" s="2"/>
      <c r="X24" s="7">
        <f t="shared" si="10"/>
        <v>-23.8142399999997</v>
      </c>
      <c r="Y24" s="2"/>
      <c r="Z24" s="6">
        <f t="shared" si="11"/>
        <v>-9.2820089585332714E-3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7812.41</v>
      </c>
      <c r="E25" s="2"/>
      <c r="F25" s="6">
        <f t="shared" si="4"/>
        <v>0</v>
      </c>
      <c r="G25" s="2"/>
      <c r="H25" s="7">
        <v>5815.5846153846196</v>
      </c>
      <c r="I25" s="2"/>
      <c r="J25" s="6">
        <f t="shared" si="5"/>
        <v>0</v>
      </c>
      <c r="K25" s="2"/>
      <c r="L25" s="7">
        <f t="shared" si="6"/>
        <v>1996.8253846153802</v>
      </c>
      <c r="M25" s="2"/>
      <c r="N25" s="6">
        <f t="shared" si="7"/>
        <v>0.34335763584850154</v>
      </c>
      <c r="O25" s="11"/>
      <c r="P25" s="7">
        <v>82375.56</v>
      </c>
      <c r="Q25" s="2"/>
      <c r="R25" s="6">
        <f t="shared" si="8"/>
        <v>0</v>
      </c>
      <c r="S25" s="2"/>
      <c r="T25" s="7">
        <v>56701.95</v>
      </c>
      <c r="U25" s="2"/>
      <c r="V25" s="6">
        <f t="shared" si="9"/>
        <v>0</v>
      </c>
      <c r="W25" s="2"/>
      <c r="X25" s="7">
        <f t="shared" si="10"/>
        <v>25673.61</v>
      </c>
      <c r="Y25" s="2"/>
      <c r="Z25" s="6">
        <f t="shared" si="11"/>
        <v>0.45278178263710511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2700</v>
      </c>
      <c r="U26" s="2"/>
      <c r="V26" s="6">
        <f t="shared" si="9"/>
        <v>0</v>
      </c>
      <c r="W26" s="2"/>
      <c r="X26" s="7">
        <f t="shared" si="10"/>
        <v>-2700</v>
      </c>
      <c r="Y26" s="2"/>
      <c r="Z26" s="6">
        <f t="shared" si="11"/>
        <v>-1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775.13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775.13</v>
      </c>
      <c r="M27" s="2"/>
      <c r="N27" s="6">
        <f t="shared" si="7"/>
        <v>0</v>
      </c>
      <c r="O27" s="11"/>
      <c r="P27" s="7">
        <v>6551.99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6551.99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6386.63</v>
      </c>
      <c r="E28" s="2"/>
      <c r="F28" s="6">
        <f t="shared" si="4"/>
        <v>0</v>
      </c>
      <c r="G28" s="2"/>
      <c r="H28" s="7">
        <v>4702.1538461538403</v>
      </c>
      <c r="I28" s="2"/>
      <c r="J28" s="6">
        <f t="shared" si="5"/>
        <v>0</v>
      </c>
      <c r="K28" s="2"/>
      <c r="L28" s="7">
        <f t="shared" si="6"/>
        <v>1684.4761538461598</v>
      </c>
      <c r="M28" s="2"/>
      <c r="N28" s="6">
        <f t="shared" si="7"/>
        <v>0.3582350150503878</v>
      </c>
      <c r="O28" s="11"/>
      <c r="P28" s="7">
        <v>56962.53</v>
      </c>
      <c r="Q28" s="2"/>
      <c r="R28" s="6">
        <f t="shared" si="8"/>
        <v>0</v>
      </c>
      <c r="S28" s="2"/>
      <c r="T28" s="7">
        <v>45887.25</v>
      </c>
      <c r="U28" s="2"/>
      <c r="V28" s="6">
        <f t="shared" si="9"/>
        <v>0</v>
      </c>
      <c r="W28" s="2"/>
      <c r="X28" s="7">
        <f t="shared" si="10"/>
        <v>11075.279999999999</v>
      </c>
      <c r="Y28" s="2"/>
      <c r="Z28" s="6">
        <f t="shared" si="11"/>
        <v>0.24135854730889297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4114.22</v>
      </c>
      <c r="E29" s="2"/>
      <c r="F29" s="6">
        <f t="shared" si="4"/>
        <v>0</v>
      </c>
      <c r="G29" s="2"/>
      <c r="H29" s="7">
        <v>3884.6676923076898</v>
      </c>
      <c r="I29" s="2"/>
      <c r="J29" s="6">
        <f t="shared" si="5"/>
        <v>0</v>
      </c>
      <c r="K29" s="2"/>
      <c r="L29" s="7">
        <f t="shared" si="6"/>
        <v>229.55230769231048</v>
      </c>
      <c r="M29" s="2"/>
      <c r="N29" s="6">
        <f t="shared" si="7"/>
        <v>5.9091877574718558E-2</v>
      </c>
      <c r="O29" s="11"/>
      <c r="P29" s="7">
        <v>38919.040000000001</v>
      </c>
      <c r="Q29" s="2"/>
      <c r="R29" s="6">
        <f t="shared" si="8"/>
        <v>0</v>
      </c>
      <c r="S29" s="2"/>
      <c r="T29" s="7">
        <v>37841.160000000003</v>
      </c>
      <c r="U29" s="2"/>
      <c r="V29" s="6">
        <f t="shared" si="9"/>
        <v>0</v>
      </c>
      <c r="W29" s="2"/>
      <c r="X29" s="7">
        <f t="shared" si="10"/>
        <v>1077.8799999999974</v>
      </c>
      <c r="Y29" s="2"/>
      <c r="Z29" s="6">
        <f t="shared" si="11"/>
        <v>2.8484327647461054E-2</v>
      </c>
    </row>
    <row r="30" spans="1:26" s="24" customFormat="1" hidden="1" outlineLevel="2" x14ac:dyDescent="0.25">
      <c r="A30" s="26"/>
      <c r="B30" s="11" t="str">
        <f>CONCATENATE("          ", "6120", " - ", "RETIREES HEALTH INSURANCE")</f>
        <v xml:space="preserve">          6120 - RETIREES HEALTH INSURANCE</v>
      </c>
      <c r="C30" s="11"/>
      <c r="D30" s="7">
        <v>28050.7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-3949.2999999999993</v>
      </c>
      <c r="M30" s="2"/>
      <c r="N30" s="6">
        <f t="shared" si="7"/>
        <v>-0.12341562499999997</v>
      </c>
      <c r="O30" s="11"/>
      <c r="P30" s="7">
        <v>-133017.22</v>
      </c>
      <c r="Q30" s="2"/>
      <c r="R30" s="6">
        <f t="shared" si="8"/>
        <v>0</v>
      </c>
      <c r="S30" s="2"/>
      <c r="T30" s="7">
        <v>288000</v>
      </c>
      <c r="U30" s="2"/>
      <c r="V30" s="6">
        <f t="shared" si="9"/>
        <v>0</v>
      </c>
      <c r="W30" s="2"/>
      <c r="X30" s="7">
        <f t="shared" si="10"/>
        <v>-421017.22</v>
      </c>
      <c r="Y30" s="2"/>
      <c r="Z30" s="6">
        <f t="shared" si="11"/>
        <v>-1.4618653472222221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528.97</v>
      </c>
      <c r="E31" s="2"/>
      <c r="F31" s="6">
        <f t="shared" si="4"/>
        <v>0</v>
      </c>
      <c r="G31" s="2"/>
      <c r="H31" s="7">
        <v>2525</v>
      </c>
      <c r="I31" s="2"/>
      <c r="J31" s="6">
        <f t="shared" si="5"/>
        <v>0</v>
      </c>
      <c r="K31" s="2"/>
      <c r="L31" s="7">
        <f t="shared" si="6"/>
        <v>-1996.03</v>
      </c>
      <c r="M31" s="2"/>
      <c r="N31" s="6">
        <f t="shared" si="7"/>
        <v>-0.79050693069306932</v>
      </c>
      <c r="O31" s="11"/>
      <c r="P31" s="7">
        <v>5518.93</v>
      </c>
      <c r="Q31" s="2"/>
      <c r="R31" s="6">
        <f t="shared" si="8"/>
        <v>0</v>
      </c>
      <c r="S31" s="2"/>
      <c r="T31" s="7">
        <v>20595</v>
      </c>
      <c r="U31" s="2"/>
      <c r="V31" s="6">
        <f t="shared" si="9"/>
        <v>0</v>
      </c>
      <c r="W31" s="2"/>
      <c r="X31" s="7">
        <f t="shared" si="10"/>
        <v>-15076.07</v>
      </c>
      <c r="Y31" s="2"/>
      <c r="Z31" s="6">
        <f t="shared" si="11"/>
        <v>-0.73202573440155372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91072.549999999988</v>
      </c>
      <c r="E32" s="1"/>
      <c r="F32" s="5">
        <f t="shared" ref="F32:F42" si="12">IF(D$12=0,0,D32/D$12)</f>
        <v>0</v>
      </c>
      <c r="G32" s="1"/>
      <c r="H32" s="1">
        <f>SUM(OSRRefH22_1x_0)</f>
        <v>92960.215384615396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-1887.6653846154077</v>
      </c>
      <c r="M32" s="1"/>
      <c r="N32" s="5">
        <f t="shared" ref="N32:N42" si="15">IF(H32=0,0,L32/H32)</f>
        <v>-2.0306164059596295E-2</v>
      </c>
      <c r="O32" s="13"/>
      <c r="P32" s="1">
        <f>SUM(OSRRefP22_1x_0)</f>
        <v>836243.42</v>
      </c>
      <c r="Q32" s="1"/>
      <c r="R32" s="5">
        <f t="shared" ref="R32:R42" si="16">IF(P$12=0,0,P32/P$12)</f>
        <v>0</v>
      </c>
      <c r="S32" s="1"/>
      <c r="T32" s="1">
        <f>SUM(OSRRefT22_1x_0)</f>
        <v>907743.8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-71500.38</v>
      </c>
      <c r="Y32" s="1"/>
      <c r="Z32" s="5">
        <f t="shared" ref="Z32:Z42" si="19">IF(T32=0,0,X32/T32)</f>
        <v>-7.8767136718532263E-2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>
        <v>23690.23</v>
      </c>
      <c r="E33" s="2"/>
      <c r="F33" s="6">
        <f t="shared" si="12"/>
        <v>0</v>
      </c>
      <c r="G33" s="2"/>
      <c r="H33" s="7">
        <v>27288.461538461499</v>
      </c>
      <c r="I33" s="2"/>
      <c r="J33" s="6">
        <f t="shared" si="13"/>
        <v>0</v>
      </c>
      <c r="K33" s="2"/>
      <c r="L33" s="7">
        <f t="shared" si="14"/>
        <v>-3598.2315384614994</v>
      </c>
      <c r="M33" s="2"/>
      <c r="N33" s="6">
        <f t="shared" si="15"/>
        <v>-0.13185908386187331</v>
      </c>
      <c r="O33" s="11"/>
      <c r="P33" s="7">
        <v>224941.23</v>
      </c>
      <c r="Q33" s="2"/>
      <c r="R33" s="6">
        <f t="shared" si="16"/>
        <v>0</v>
      </c>
      <c r="S33" s="2"/>
      <c r="T33" s="7">
        <v>266062.5</v>
      </c>
      <c r="U33" s="2"/>
      <c r="V33" s="6">
        <f t="shared" si="17"/>
        <v>0</v>
      </c>
      <c r="W33" s="2"/>
      <c r="X33" s="7">
        <f t="shared" si="18"/>
        <v>-41121.26999999999</v>
      </c>
      <c r="Y33" s="2"/>
      <c r="Z33" s="6">
        <f t="shared" si="19"/>
        <v>-0.15455492600422829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>
        <v>46843.35</v>
      </c>
      <c r="E34" s="2"/>
      <c r="F34" s="6">
        <f t="shared" si="12"/>
        <v>0</v>
      </c>
      <c r="G34" s="2"/>
      <c r="H34" s="7">
        <v>34146.153846153902</v>
      </c>
      <c r="I34" s="2"/>
      <c r="J34" s="6">
        <f t="shared" si="13"/>
        <v>0</v>
      </c>
      <c r="K34" s="2"/>
      <c r="L34" s="7">
        <f t="shared" si="14"/>
        <v>12697.196153846096</v>
      </c>
      <c r="M34" s="2"/>
      <c r="N34" s="6">
        <f t="shared" si="15"/>
        <v>0.37184850191484342</v>
      </c>
      <c r="O34" s="11"/>
      <c r="P34" s="7">
        <v>437076.21</v>
      </c>
      <c r="Q34" s="2"/>
      <c r="R34" s="6">
        <f t="shared" si="16"/>
        <v>0</v>
      </c>
      <c r="S34" s="2"/>
      <c r="T34" s="7">
        <v>332925</v>
      </c>
      <c r="U34" s="2"/>
      <c r="V34" s="6">
        <f t="shared" si="17"/>
        <v>0</v>
      </c>
      <c r="W34" s="2"/>
      <c r="X34" s="7">
        <f t="shared" si="18"/>
        <v>104151.21000000002</v>
      </c>
      <c r="Y34" s="2"/>
      <c r="Z34" s="6">
        <f t="shared" si="19"/>
        <v>0.31283685514755583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14154.51</v>
      </c>
      <c r="E36" s="2"/>
      <c r="F36" s="6">
        <f t="shared" si="12"/>
        <v>0</v>
      </c>
      <c r="G36" s="2"/>
      <c r="H36" s="7">
        <v>20346.400000000001</v>
      </c>
      <c r="I36" s="2"/>
      <c r="J36" s="6">
        <f t="shared" si="13"/>
        <v>0</v>
      </c>
      <c r="K36" s="2"/>
      <c r="L36" s="7">
        <f t="shared" si="14"/>
        <v>-6191.8900000000012</v>
      </c>
      <c r="M36" s="2"/>
      <c r="N36" s="6">
        <f t="shared" si="15"/>
        <v>-0.30432361498840094</v>
      </c>
      <c r="O36" s="11"/>
      <c r="P36" s="7">
        <v>154224.81</v>
      </c>
      <c r="Q36" s="2"/>
      <c r="R36" s="6">
        <f t="shared" si="16"/>
        <v>0</v>
      </c>
      <c r="S36" s="2"/>
      <c r="T36" s="7">
        <v>204119.9</v>
      </c>
      <c r="U36" s="2"/>
      <c r="V36" s="6">
        <f t="shared" si="17"/>
        <v>0</v>
      </c>
      <c r="W36" s="2"/>
      <c r="X36" s="7">
        <f t="shared" si="18"/>
        <v>-49895.09</v>
      </c>
      <c r="Y36" s="2"/>
      <c r="Z36" s="6">
        <f t="shared" si="19"/>
        <v>-0.24444010603571723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3704.26</v>
      </c>
      <c r="E37" s="2"/>
      <c r="F37" s="6">
        <f t="shared" si="12"/>
        <v>0</v>
      </c>
      <c r="G37" s="2"/>
      <c r="H37" s="7">
        <v>7772</v>
      </c>
      <c r="I37" s="2"/>
      <c r="J37" s="6">
        <f t="shared" si="13"/>
        <v>0</v>
      </c>
      <c r="K37" s="2"/>
      <c r="L37" s="7">
        <f t="shared" si="14"/>
        <v>-4067.74</v>
      </c>
      <c r="M37" s="2"/>
      <c r="N37" s="6">
        <f t="shared" si="15"/>
        <v>-0.52338394235717955</v>
      </c>
      <c r="O37" s="11"/>
      <c r="P37" s="7">
        <v>47940.67</v>
      </c>
      <c r="Q37" s="2"/>
      <c r="R37" s="6">
        <f t="shared" si="16"/>
        <v>0</v>
      </c>
      <c r="S37" s="2"/>
      <c r="T37" s="7">
        <v>75777</v>
      </c>
      <c r="U37" s="2"/>
      <c r="V37" s="6">
        <f t="shared" si="17"/>
        <v>0</v>
      </c>
      <c r="W37" s="2"/>
      <c r="X37" s="7">
        <f t="shared" si="18"/>
        <v>-27836.33</v>
      </c>
      <c r="Y37" s="2"/>
      <c r="Z37" s="6">
        <f t="shared" si="19"/>
        <v>-0.3673453686474788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1517</v>
      </c>
      <c r="E39" s="2"/>
      <c r="F39" s="6">
        <f t="shared" si="12"/>
        <v>0</v>
      </c>
      <c r="G39" s="2"/>
      <c r="H39" s="7">
        <v>1120</v>
      </c>
      <c r="I39" s="2"/>
      <c r="J39" s="6">
        <f t="shared" si="13"/>
        <v>0</v>
      </c>
      <c r="K39" s="2"/>
      <c r="L39" s="7">
        <f t="shared" si="14"/>
        <v>397</v>
      </c>
      <c r="M39" s="2"/>
      <c r="N39" s="6">
        <f t="shared" si="15"/>
        <v>0.35446428571428573</v>
      </c>
      <c r="O39" s="11"/>
      <c r="P39" s="7">
        <v>-39854.01</v>
      </c>
      <c r="Q39" s="2"/>
      <c r="R39" s="6">
        <f t="shared" si="16"/>
        <v>0</v>
      </c>
      <c r="S39" s="2"/>
      <c r="T39" s="7">
        <v>9899</v>
      </c>
      <c r="U39" s="2"/>
      <c r="V39" s="6">
        <f t="shared" si="17"/>
        <v>0</v>
      </c>
      <c r="W39" s="2"/>
      <c r="X39" s="7">
        <f t="shared" si="18"/>
        <v>-49753.01</v>
      </c>
      <c r="Y39" s="2"/>
      <c r="Z39" s="6">
        <f t="shared" si="19"/>
        <v>-5.0260642489140324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1163.2</v>
      </c>
      <c r="E40" s="2"/>
      <c r="F40" s="6">
        <f t="shared" si="12"/>
        <v>0</v>
      </c>
      <c r="G40" s="2"/>
      <c r="H40" s="7">
        <v>2287.1999999999998</v>
      </c>
      <c r="I40" s="2"/>
      <c r="J40" s="6">
        <f t="shared" si="13"/>
        <v>0</v>
      </c>
      <c r="K40" s="2"/>
      <c r="L40" s="7">
        <f t="shared" si="14"/>
        <v>-1123.9999999999998</v>
      </c>
      <c r="M40" s="2"/>
      <c r="N40" s="6">
        <f t="shared" si="15"/>
        <v>-0.49143057012941582</v>
      </c>
      <c r="O40" s="11"/>
      <c r="P40" s="7">
        <v>11914.51</v>
      </c>
      <c r="Q40" s="2"/>
      <c r="R40" s="6">
        <f t="shared" si="16"/>
        <v>0</v>
      </c>
      <c r="S40" s="2"/>
      <c r="T40" s="7">
        <v>18960.400000000001</v>
      </c>
      <c r="U40" s="2"/>
      <c r="V40" s="6">
        <f t="shared" si="17"/>
        <v>0</v>
      </c>
      <c r="W40" s="2"/>
      <c r="X40" s="7">
        <f t="shared" si="18"/>
        <v>-7045.8900000000012</v>
      </c>
      <c r="Y40" s="2"/>
      <c r="Z40" s="6">
        <f t="shared" si="19"/>
        <v>-0.37161083099512671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-8909.7900000000009</v>
      </c>
      <c r="M43" s="1"/>
      <c r="N43" s="5">
        <f t="shared" ref="N43:N51" si="23">IF(H43=0,0,L43/H43)</f>
        <v>-0.98093030936915127</v>
      </c>
      <c r="O43" s="13"/>
      <c r="P43" s="1">
        <f>SUM(OSRRefP22_2x_0)</f>
        <v>1625.69</v>
      </c>
      <c r="Q43" s="1"/>
      <c r="R43" s="5">
        <f t="shared" ref="R43:R51" si="24">IF(P$12=0,0,P43/P$12)</f>
        <v>0</v>
      </c>
      <c r="S43" s="1"/>
      <c r="T43" s="1">
        <f>SUM(OSRRefT22_2x_0)</f>
        <v>81847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-80221.31</v>
      </c>
      <c r="Y43" s="1"/>
      <c r="Z43" s="5">
        <f t="shared" ref="Z43:Z51" si="27">IF(T43=0,0,X43/T43)</f>
        <v>-0.98013745158649668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>
        <v>173.21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-8909.7900000000009</v>
      </c>
      <c r="M44" s="2"/>
      <c r="N44" s="6">
        <f t="shared" si="23"/>
        <v>-0.98093030936915127</v>
      </c>
      <c r="O44" s="11"/>
      <c r="P44" s="7">
        <v>1625.69</v>
      </c>
      <c r="Q44" s="2"/>
      <c r="R44" s="6">
        <f t="shared" si="24"/>
        <v>0</v>
      </c>
      <c r="S44" s="2"/>
      <c r="T44" s="7">
        <v>81847</v>
      </c>
      <c r="U44" s="2"/>
      <c r="V44" s="6">
        <f t="shared" si="25"/>
        <v>0</v>
      </c>
      <c r="W44" s="2"/>
      <c r="X44" s="7">
        <f t="shared" si="26"/>
        <v>-80221.31</v>
      </c>
      <c r="Y44" s="2"/>
      <c r="Z44" s="6">
        <f t="shared" si="27"/>
        <v>-0.98013745158649668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7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-1993</v>
      </c>
      <c r="M45" s="1"/>
      <c r="N45" s="5">
        <f t="shared" si="23"/>
        <v>-0.99650000000000005</v>
      </c>
      <c r="O45" s="13"/>
      <c r="P45" s="1">
        <f>SUM(OSRRefP22_3x_0)</f>
        <v>5125.54</v>
      </c>
      <c r="Q45" s="1"/>
      <c r="R45" s="5">
        <f t="shared" si="24"/>
        <v>0</v>
      </c>
      <c r="S45" s="1"/>
      <c r="T45" s="1">
        <f>SUM(OSRRefT22_3x_0)</f>
        <v>54000</v>
      </c>
      <c r="U45" s="1"/>
      <c r="V45" s="5">
        <f t="shared" si="25"/>
        <v>0</v>
      </c>
      <c r="W45" s="1"/>
      <c r="X45" s="1">
        <f t="shared" si="26"/>
        <v>-48874.46</v>
      </c>
      <c r="Y45" s="1"/>
      <c r="Z45" s="5">
        <f t="shared" si="27"/>
        <v>-0.90508259259259261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7</v>
      </c>
      <c r="E46" s="2"/>
      <c r="F46" s="6">
        <f t="shared" si="20"/>
        <v>0</v>
      </c>
      <c r="G46" s="2"/>
      <c r="H46" s="7">
        <v>2000</v>
      </c>
      <c r="I46" s="2"/>
      <c r="J46" s="6">
        <f t="shared" si="21"/>
        <v>0</v>
      </c>
      <c r="K46" s="2"/>
      <c r="L46" s="7">
        <f t="shared" si="22"/>
        <v>-1993</v>
      </c>
      <c r="M46" s="2"/>
      <c r="N46" s="6">
        <f t="shared" si="23"/>
        <v>-0.99650000000000005</v>
      </c>
      <c r="O46" s="11"/>
      <c r="P46" s="7">
        <v>5125.54</v>
      </c>
      <c r="Q46" s="2"/>
      <c r="R46" s="6">
        <f t="shared" si="24"/>
        <v>0</v>
      </c>
      <c r="S46" s="2"/>
      <c r="T46" s="7">
        <v>54000</v>
      </c>
      <c r="U46" s="2"/>
      <c r="V46" s="6">
        <f t="shared" si="25"/>
        <v>0</v>
      </c>
      <c r="W46" s="2"/>
      <c r="X46" s="7">
        <f t="shared" si="26"/>
        <v>-48874.46</v>
      </c>
      <c r="Y46" s="2"/>
      <c r="Z46" s="6">
        <f t="shared" si="27"/>
        <v>-0.90508259259259261</v>
      </c>
    </row>
    <row r="47" spans="1:26" s="25" customFormat="1" outlineLevel="1" collapsed="1" x14ac:dyDescent="0.25">
      <c r="A47" s="27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685.41</v>
      </c>
      <c r="E47" s="1"/>
      <c r="F47" s="5">
        <f t="shared" si="20"/>
        <v>0</v>
      </c>
      <c r="G47" s="1"/>
      <c r="H47" s="1">
        <f>SUM(OSRRefH22_4x_0)</f>
        <v>17437</v>
      </c>
      <c r="I47" s="1"/>
      <c r="J47" s="5">
        <f t="shared" si="21"/>
        <v>0</v>
      </c>
      <c r="K47" s="1"/>
      <c r="L47" s="1">
        <f t="shared" si="22"/>
        <v>-16751.59</v>
      </c>
      <c r="M47" s="1"/>
      <c r="N47" s="5">
        <f t="shared" si="23"/>
        <v>-0.96069220622813556</v>
      </c>
      <c r="O47" s="13"/>
      <c r="P47" s="1">
        <f>SUM(OSRRefP22_4x_0)</f>
        <v>10832.16</v>
      </c>
      <c r="Q47" s="1"/>
      <c r="R47" s="5">
        <f t="shared" si="24"/>
        <v>0</v>
      </c>
      <c r="S47" s="1"/>
      <c r="T47" s="1">
        <f>SUM(OSRRefT22_4x_0)</f>
        <v>38833</v>
      </c>
      <c r="U47" s="1"/>
      <c r="V47" s="5">
        <f t="shared" si="25"/>
        <v>0</v>
      </c>
      <c r="W47" s="1"/>
      <c r="X47" s="1">
        <f t="shared" si="26"/>
        <v>-28000.84</v>
      </c>
      <c r="Y47" s="1"/>
      <c r="Z47" s="5">
        <f t="shared" si="27"/>
        <v>-0.72105786315762366</v>
      </c>
    </row>
    <row r="48" spans="1:26" s="24" customFormat="1" hidden="1" outlineLevel="2" x14ac:dyDescent="0.25">
      <c r="A48" s="26"/>
      <c r="B48" s="11" t="str">
        <f>CONCATENATE("          ", "6397", " - ", "BOARD EXPENSES")</f>
        <v xml:space="preserve">          6397 - BOARD EXPENSES</v>
      </c>
      <c r="C48" s="11"/>
      <c r="D48" s="7">
        <v>685.41</v>
      </c>
      <c r="E48" s="2"/>
      <c r="F48" s="6">
        <f t="shared" si="20"/>
        <v>0</v>
      </c>
      <c r="G48" s="2"/>
      <c r="H48" s="7">
        <v>17437</v>
      </c>
      <c r="I48" s="2"/>
      <c r="J48" s="6">
        <f t="shared" si="21"/>
        <v>0</v>
      </c>
      <c r="K48" s="2"/>
      <c r="L48" s="7">
        <f t="shared" si="22"/>
        <v>-16751.59</v>
      </c>
      <c r="M48" s="2"/>
      <c r="N48" s="6">
        <f t="shared" si="23"/>
        <v>-0.96069220622813556</v>
      </c>
      <c r="O48" s="11"/>
      <c r="P48" s="7">
        <v>10832.16</v>
      </c>
      <c r="Q48" s="2"/>
      <c r="R48" s="6">
        <f t="shared" si="24"/>
        <v>0</v>
      </c>
      <c r="S48" s="2"/>
      <c r="T48" s="7">
        <v>38833</v>
      </c>
      <c r="U48" s="2"/>
      <c r="V48" s="6">
        <f t="shared" si="25"/>
        <v>0</v>
      </c>
      <c r="W48" s="2"/>
      <c r="X48" s="7">
        <f t="shared" si="26"/>
        <v>-28000.84</v>
      </c>
      <c r="Y48" s="2"/>
      <c r="Z48" s="6">
        <f t="shared" si="27"/>
        <v>-0.72105786315762366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6867.78</v>
      </c>
      <c r="E49" s="1"/>
      <c r="F49" s="5">
        <f t="shared" si="20"/>
        <v>0</v>
      </c>
      <c r="G49" s="1"/>
      <c r="H49" s="1">
        <f>SUM(OSRRefH22_5x_0)</f>
        <v>6868</v>
      </c>
      <c r="I49" s="1"/>
      <c r="J49" s="5">
        <f t="shared" si="21"/>
        <v>0</v>
      </c>
      <c r="K49" s="1"/>
      <c r="L49" s="1">
        <f t="shared" si="22"/>
        <v>-0.22000000000025466</v>
      </c>
      <c r="M49" s="1"/>
      <c r="N49" s="5">
        <f t="shared" si="23"/>
        <v>-3.2032615026245583E-5</v>
      </c>
      <c r="O49" s="13"/>
      <c r="P49" s="1">
        <f>SUM(OSRRefP22_5x_0)</f>
        <v>65279.48</v>
      </c>
      <c r="Q49" s="1"/>
      <c r="R49" s="5">
        <f t="shared" si="24"/>
        <v>0</v>
      </c>
      <c r="S49" s="1"/>
      <c r="T49" s="1">
        <f>SUM(OSRRefT22_5x_0)</f>
        <v>60017</v>
      </c>
      <c r="U49" s="1"/>
      <c r="V49" s="5">
        <f t="shared" si="25"/>
        <v>0</v>
      </c>
      <c r="W49" s="1"/>
      <c r="X49" s="1">
        <f t="shared" si="26"/>
        <v>5262.4800000000032</v>
      </c>
      <c r="Y49" s="1"/>
      <c r="Z49" s="5">
        <f t="shared" si="27"/>
        <v>8.7683156439008994E-2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6867.78</v>
      </c>
      <c r="E50" s="2"/>
      <c r="F50" s="6">
        <f t="shared" si="20"/>
        <v>0</v>
      </c>
      <c r="G50" s="2"/>
      <c r="H50" s="7">
        <v>6868</v>
      </c>
      <c r="I50" s="2"/>
      <c r="J50" s="6">
        <f t="shared" si="21"/>
        <v>0</v>
      </c>
      <c r="K50" s="2"/>
      <c r="L50" s="7">
        <f t="shared" si="22"/>
        <v>-0.22000000000025466</v>
      </c>
      <c r="M50" s="2"/>
      <c r="N50" s="6">
        <f t="shared" si="23"/>
        <v>-3.2032615026245583E-5</v>
      </c>
      <c r="O50" s="11"/>
      <c r="P50" s="7">
        <v>65279.48</v>
      </c>
      <c r="Q50" s="2"/>
      <c r="R50" s="6">
        <f t="shared" si="24"/>
        <v>0</v>
      </c>
      <c r="S50" s="2"/>
      <c r="T50" s="7">
        <v>59917</v>
      </c>
      <c r="U50" s="2"/>
      <c r="V50" s="6">
        <f t="shared" si="25"/>
        <v>0</v>
      </c>
      <c r="W50" s="2"/>
      <c r="X50" s="7">
        <f t="shared" si="26"/>
        <v>5362.4800000000032</v>
      </c>
      <c r="Y50" s="2"/>
      <c r="Z50" s="6">
        <f t="shared" si="27"/>
        <v>8.9498472887494421E-2</v>
      </c>
    </row>
    <row r="51" spans="1:26" s="24" customFormat="1" hidden="1" outlineLevel="2" x14ac:dyDescent="0.25">
      <c r="A51" s="26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1000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-1000</v>
      </c>
      <c r="M52" s="1"/>
      <c r="N52" s="5">
        <f t="shared" ref="N52:N54" si="31">IF(H52=0,0,L52/H52)</f>
        <v>-1</v>
      </c>
      <c r="O52" s="13"/>
      <c r="P52" s="1">
        <f>SUM(OSRRefP22_6x_0)</f>
        <v>25000</v>
      </c>
      <c r="Q52" s="1"/>
      <c r="R52" s="5">
        <f t="shared" ref="R52:R54" si="32">IF(P$12=0,0,P52/P$12)</f>
        <v>0</v>
      </c>
      <c r="S52" s="1"/>
      <c r="T52" s="1">
        <f>SUM(OSRRefT22_6x_0)</f>
        <v>43750</v>
      </c>
      <c r="U52" s="1"/>
      <c r="V52" s="5">
        <f t="shared" ref="V52:V54" si="33">IF(T$12=0,0,T52/T$12)</f>
        <v>0</v>
      </c>
      <c r="W52" s="1"/>
      <c r="X52" s="1">
        <f t="shared" ref="X52:X54" si="34">+P52-T52</f>
        <v>-18750</v>
      </c>
      <c r="Y52" s="1"/>
      <c r="Z52" s="5">
        <f t="shared" ref="Z52:Z54" si="35">IF(T52=0,0,X52/T52)</f>
        <v>-0.42857142857142855</v>
      </c>
    </row>
    <row r="53" spans="1:26" s="24" customFormat="1" hidden="1" outlineLevel="2" x14ac:dyDescent="0.25">
      <c r="A53" s="26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1500</v>
      </c>
      <c r="U53" s="2"/>
      <c r="V53" s="6">
        <f t="shared" si="33"/>
        <v>0</v>
      </c>
      <c r="W53" s="2"/>
      <c r="X53" s="7">
        <f t="shared" si="34"/>
        <v>-1500</v>
      </c>
      <c r="Y53" s="2"/>
      <c r="Z53" s="6">
        <f t="shared" si="35"/>
        <v>-1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28"/>
        <v>0</v>
      </c>
      <c r="G54" s="2"/>
      <c r="H54" s="7">
        <v>1000</v>
      </c>
      <c r="I54" s="2"/>
      <c r="J54" s="6">
        <f t="shared" si="29"/>
        <v>0</v>
      </c>
      <c r="K54" s="2"/>
      <c r="L54" s="7">
        <f t="shared" si="30"/>
        <v>-1000</v>
      </c>
      <c r="M54" s="2"/>
      <c r="N54" s="6">
        <f t="shared" si="31"/>
        <v>-1</v>
      </c>
      <c r="O54" s="11"/>
      <c r="P54" s="7">
        <v>25000</v>
      </c>
      <c r="Q54" s="2"/>
      <c r="R54" s="6">
        <f t="shared" si="32"/>
        <v>0</v>
      </c>
      <c r="S54" s="2"/>
      <c r="T54" s="7">
        <v>42250</v>
      </c>
      <c r="U54" s="2"/>
      <c r="V54" s="6">
        <f t="shared" si="33"/>
        <v>0</v>
      </c>
      <c r="W54" s="2"/>
      <c r="X54" s="7">
        <f t="shared" si="34"/>
        <v>-17250</v>
      </c>
      <c r="Y54" s="2"/>
      <c r="Z54" s="6">
        <f t="shared" si="35"/>
        <v>-0.40828402366863903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ref="F55:F61" si="36">IF(D$12=0,0,D55/D$12)</f>
        <v>0</v>
      </c>
      <c r="G55" s="1"/>
      <c r="H55" s="1">
        <f>SUM(OSRRefH22_7x_0)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0</v>
      </c>
      <c r="M55" s="1"/>
      <c r="N55" s="5">
        <f t="shared" ref="N55:N61" si="39">IF(H55=0,0,L55/H55)</f>
        <v>0</v>
      </c>
      <c r="O55" s="13"/>
      <c r="P55" s="1">
        <f>SUM(OSRRefP22_7x_0)</f>
        <v>81.56</v>
      </c>
      <c r="Q55" s="1"/>
      <c r="R55" s="5">
        <f t="shared" ref="R55:R61" si="40">IF(P$12=0,0,P55/P$12)</f>
        <v>0</v>
      </c>
      <c r="S55" s="1"/>
      <c r="T55" s="1">
        <f>SUM(OSRRefT22_7x_0)</f>
        <v>4200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-4118.4399999999996</v>
      </c>
      <c r="Y55" s="1"/>
      <c r="Z55" s="5">
        <f t="shared" ref="Z55:Z61" si="43">IF(T55=0,0,X55/T55)</f>
        <v>-0.98058095238095233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81.56</v>
      </c>
      <c r="Q56" s="2"/>
      <c r="R56" s="6">
        <f t="shared" si="40"/>
        <v>0</v>
      </c>
      <c r="S56" s="2"/>
      <c r="T56" s="7">
        <v>4200</v>
      </c>
      <c r="U56" s="2"/>
      <c r="V56" s="6">
        <f t="shared" si="41"/>
        <v>0</v>
      </c>
      <c r="W56" s="2"/>
      <c r="X56" s="7">
        <f t="shared" si="42"/>
        <v>-4118.4399999999996</v>
      </c>
      <c r="Y56" s="2"/>
      <c r="Z56" s="6">
        <f t="shared" si="43"/>
        <v>-0.98058095238095233</v>
      </c>
    </row>
    <row r="57" spans="1:26" s="25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300.23</v>
      </c>
      <c r="E57" s="1"/>
      <c r="F57" s="5">
        <f t="shared" si="36"/>
        <v>0</v>
      </c>
      <c r="G57" s="1"/>
      <c r="H57" s="1">
        <f>SUM(OSRRefH22_8x_0)</f>
        <v>291</v>
      </c>
      <c r="I57" s="1"/>
      <c r="J57" s="5">
        <f t="shared" si="37"/>
        <v>0</v>
      </c>
      <c r="K57" s="1"/>
      <c r="L57" s="1">
        <f t="shared" si="38"/>
        <v>9.2300000000000182</v>
      </c>
      <c r="M57" s="1"/>
      <c r="N57" s="5">
        <f t="shared" si="39"/>
        <v>3.1718213058419306E-2</v>
      </c>
      <c r="O57" s="13"/>
      <c r="P57" s="1">
        <f>SUM(OSRRefP22_8x_0)</f>
        <v>1971.99</v>
      </c>
      <c r="Q57" s="1"/>
      <c r="R57" s="5">
        <f t="shared" si="40"/>
        <v>0</v>
      </c>
      <c r="S57" s="1"/>
      <c r="T57" s="1">
        <f>SUM(OSRRefT22_8x_0)</f>
        <v>2537</v>
      </c>
      <c r="U57" s="1"/>
      <c r="V57" s="5">
        <f t="shared" si="41"/>
        <v>0</v>
      </c>
      <c r="W57" s="1"/>
      <c r="X57" s="1">
        <f t="shared" si="42"/>
        <v>-565.01</v>
      </c>
      <c r="Y57" s="1"/>
      <c r="Z57" s="5">
        <f t="shared" si="43"/>
        <v>-0.22270792274339771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7">
        <v>300.23</v>
      </c>
      <c r="E58" s="2"/>
      <c r="F58" s="6">
        <f t="shared" si="36"/>
        <v>0</v>
      </c>
      <c r="G58" s="2"/>
      <c r="H58" s="7">
        <v>291</v>
      </c>
      <c r="I58" s="2"/>
      <c r="J58" s="6">
        <f t="shared" si="37"/>
        <v>0</v>
      </c>
      <c r="K58" s="2"/>
      <c r="L58" s="7">
        <f t="shared" si="38"/>
        <v>9.2300000000000182</v>
      </c>
      <c r="M58" s="2"/>
      <c r="N58" s="6">
        <f t="shared" si="39"/>
        <v>3.1718213058419306E-2</v>
      </c>
      <c r="O58" s="11"/>
      <c r="P58" s="7">
        <v>1971.99</v>
      </c>
      <c r="Q58" s="2"/>
      <c r="R58" s="6">
        <f t="shared" si="40"/>
        <v>0</v>
      </c>
      <c r="S58" s="2"/>
      <c r="T58" s="7">
        <v>2537</v>
      </c>
      <c r="U58" s="2"/>
      <c r="V58" s="6">
        <f t="shared" si="41"/>
        <v>0</v>
      </c>
      <c r="W58" s="2"/>
      <c r="X58" s="7">
        <f t="shared" si="42"/>
        <v>-565.01</v>
      </c>
      <c r="Y58" s="2"/>
      <c r="Z58" s="6">
        <f t="shared" si="43"/>
        <v>-0.22270792274339771</v>
      </c>
    </row>
    <row r="59" spans="1:26" s="25" customFormat="1" outlineLevel="1" collapsed="1" x14ac:dyDescent="0.25">
      <c r="A59" s="27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91.82</v>
      </c>
      <c r="E59" s="1"/>
      <c r="F59" s="5">
        <f t="shared" si="36"/>
        <v>0</v>
      </c>
      <c r="G59" s="1"/>
      <c r="H59" s="1">
        <f>SUM(OSRRefH22_9x_0)</f>
        <v>198</v>
      </c>
      <c r="I59" s="1"/>
      <c r="J59" s="5">
        <f t="shared" si="37"/>
        <v>0</v>
      </c>
      <c r="K59" s="1"/>
      <c r="L59" s="1">
        <f t="shared" si="38"/>
        <v>-106.18</v>
      </c>
      <c r="M59" s="1"/>
      <c r="N59" s="5">
        <f t="shared" si="39"/>
        <v>-0.53626262626262633</v>
      </c>
      <c r="O59" s="13"/>
      <c r="P59" s="1">
        <f>SUM(OSRRefP22_9x_0)</f>
        <v>1004.1</v>
      </c>
      <c r="Q59" s="1"/>
      <c r="R59" s="5">
        <f t="shared" si="40"/>
        <v>0</v>
      </c>
      <c r="S59" s="1"/>
      <c r="T59" s="1">
        <f>SUM(OSRRefT22_9x_0)</f>
        <v>1782</v>
      </c>
      <c r="U59" s="1"/>
      <c r="V59" s="5">
        <f t="shared" si="41"/>
        <v>0</v>
      </c>
      <c r="W59" s="1"/>
      <c r="X59" s="1">
        <f t="shared" si="42"/>
        <v>-777.9</v>
      </c>
      <c r="Y59" s="1"/>
      <c r="Z59" s="5">
        <f t="shared" si="43"/>
        <v>-0.43653198653198649</v>
      </c>
    </row>
    <row r="60" spans="1:26" s="24" customFormat="1" hidden="1" outlineLevel="2" x14ac:dyDescent="0.25">
      <c r="A60" s="26"/>
      <c r="B60" s="11" t="str">
        <f>CONCATENATE("          ", "6305", " - ", "FREIGHT OUT")</f>
        <v xml:space="preserve">          6305 - FREIGHT OUT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5.41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5.41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7">
        <v>91.82</v>
      </c>
      <c r="E61" s="2"/>
      <c r="F61" s="6">
        <f t="shared" si="36"/>
        <v>0</v>
      </c>
      <c r="G61" s="2"/>
      <c r="H61" s="7">
        <v>198</v>
      </c>
      <c r="I61" s="2"/>
      <c r="J61" s="6">
        <f t="shared" si="37"/>
        <v>0</v>
      </c>
      <c r="K61" s="2"/>
      <c r="L61" s="7">
        <f t="shared" si="38"/>
        <v>-106.18</v>
      </c>
      <c r="M61" s="2"/>
      <c r="N61" s="6">
        <f t="shared" si="39"/>
        <v>-0.53626262626262633</v>
      </c>
      <c r="O61" s="11"/>
      <c r="P61" s="7">
        <v>998.69</v>
      </c>
      <c r="Q61" s="2"/>
      <c r="R61" s="6">
        <f t="shared" si="40"/>
        <v>0</v>
      </c>
      <c r="S61" s="2"/>
      <c r="T61" s="7">
        <v>1782</v>
      </c>
      <c r="U61" s="2"/>
      <c r="V61" s="6">
        <f t="shared" si="41"/>
        <v>0</v>
      </c>
      <c r="W61" s="2"/>
      <c r="X61" s="7">
        <f t="shared" si="42"/>
        <v>-783.31</v>
      </c>
      <c r="Y61" s="2"/>
      <c r="Z61" s="6">
        <f t="shared" si="43"/>
        <v>-0.43956790123456785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52</v>
      </c>
      <c r="E62" s="1"/>
      <c r="F62" s="5">
        <f t="shared" ref="F62:F66" si="44">IF(D$12=0,0,D62/D$12)</f>
        <v>0</v>
      </c>
      <c r="G62" s="1"/>
      <c r="H62" s="1">
        <f>SUM(OSRRefH22_10x_0)</f>
        <v>683</v>
      </c>
      <c r="I62" s="1"/>
      <c r="J62" s="5">
        <f t="shared" ref="J62:J66" si="45">IF(H$12=0,0,H62/H$12)</f>
        <v>0</v>
      </c>
      <c r="K62" s="1"/>
      <c r="L62" s="1">
        <f t="shared" ref="L62:L66" si="46">+D62-H62</f>
        <v>-631</v>
      </c>
      <c r="M62" s="1"/>
      <c r="N62" s="5">
        <f t="shared" ref="N62:N66" si="47">IF(H62=0,0,L62/H62)</f>
        <v>-0.92386530014641288</v>
      </c>
      <c r="O62" s="13"/>
      <c r="P62" s="1">
        <f>SUM(OSRRefP22_10x_0)</f>
        <v>-9.66</v>
      </c>
      <c r="Q62" s="1"/>
      <c r="R62" s="5">
        <f t="shared" ref="R62:R66" si="48">IF(P$12=0,0,P62/P$12)</f>
        <v>0</v>
      </c>
      <c r="S62" s="1"/>
      <c r="T62" s="1">
        <f>SUM(OSRRefT22_10x_0)</f>
        <v>4747</v>
      </c>
      <c r="U62" s="1"/>
      <c r="V62" s="5">
        <f t="shared" ref="V62:V66" si="49">IF(T$12=0,0,T62/T$12)</f>
        <v>0</v>
      </c>
      <c r="W62" s="1"/>
      <c r="X62" s="1">
        <f t="shared" ref="X62:X66" si="50">+P62-T62</f>
        <v>-4756.66</v>
      </c>
      <c r="Y62" s="1"/>
      <c r="Z62" s="5">
        <f t="shared" ref="Z62:Z66" si="51">IF(T62=0,0,X62/T62)</f>
        <v>-1.0020349694543922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>
        <v>52</v>
      </c>
      <c r="E63" s="2"/>
      <c r="F63" s="6">
        <f t="shared" si="44"/>
        <v>0</v>
      </c>
      <c r="G63" s="2"/>
      <c r="H63" s="7">
        <v>683</v>
      </c>
      <c r="I63" s="2"/>
      <c r="J63" s="6">
        <f t="shared" si="45"/>
        <v>0</v>
      </c>
      <c r="K63" s="2"/>
      <c r="L63" s="7">
        <f t="shared" si="46"/>
        <v>-631</v>
      </c>
      <c r="M63" s="2"/>
      <c r="N63" s="6">
        <f t="shared" si="47"/>
        <v>-0.92386530014641288</v>
      </c>
      <c r="O63" s="11"/>
      <c r="P63" s="7">
        <v>-9.66</v>
      </c>
      <c r="Q63" s="2"/>
      <c r="R63" s="6">
        <f t="shared" si="48"/>
        <v>0</v>
      </c>
      <c r="S63" s="2"/>
      <c r="T63" s="7">
        <v>4747</v>
      </c>
      <c r="U63" s="2"/>
      <c r="V63" s="6">
        <f t="shared" si="49"/>
        <v>0</v>
      </c>
      <c r="W63" s="2"/>
      <c r="X63" s="7">
        <f t="shared" si="50"/>
        <v>-4756.66</v>
      </c>
      <c r="Y63" s="2"/>
      <c r="Z63" s="6">
        <f t="shared" si="51"/>
        <v>-1.0020349694543922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393.67</v>
      </c>
      <c r="E64" s="1"/>
      <c r="F64" s="5">
        <f t="shared" si="44"/>
        <v>0</v>
      </c>
      <c r="G64" s="1"/>
      <c r="H64" s="1">
        <f>SUM(OSRRefH22_11x_0)</f>
        <v>432</v>
      </c>
      <c r="I64" s="1"/>
      <c r="J64" s="5">
        <f t="shared" si="45"/>
        <v>0</v>
      </c>
      <c r="K64" s="1"/>
      <c r="L64" s="1">
        <f t="shared" si="46"/>
        <v>-38.329999999999984</v>
      </c>
      <c r="M64" s="1"/>
      <c r="N64" s="5">
        <f t="shared" si="47"/>
        <v>-8.8726851851851821E-2</v>
      </c>
      <c r="O64" s="13"/>
      <c r="P64" s="1">
        <f>SUM(OSRRefP22_11x_0)</f>
        <v>3543.03</v>
      </c>
      <c r="Q64" s="1"/>
      <c r="R64" s="5">
        <f t="shared" si="48"/>
        <v>0</v>
      </c>
      <c r="S64" s="1"/>
      <c r="T64" s="1">
        <f>SUM(OSRRefT22_11x_0)</f>
        <v>5207</v>
      </c>
      <c r="U64" s="1"/>
      <c r="V64" s="5">
        <f t="shared" si="49"/>
        <v>0</v>
      </c>
      <c r="W64" s="1"/>
      <c r="X64" s="1">
        <f t="shared" si="50"/>
        <v>-1663.9699999999998</v>
      </c>
      <c r="Y64" s="1"/>
      <c r="Z64" s="5">
        <f t="shared" si="51"/>
        <v>-0.31956404839638941</v>
      </c>
    </row>
    <row r="65" spans="1:26" s="24" customFormat="1" hidden="1" outlineLevel="2" x14ac:dyDescent="0.25">
      <c r="A65" s="26"/>
      <c r="B65" s="11" t="str">
        <f>CONCATENATE("          ", "6312", " - ", "FIRE &amp; THEFT INSURANCE")</f>
        <v xml:space="preserve">          6312 - FIRE &amp; THEFT INSURANCE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780</v>
      </c>
      <c r="U65" s="2"/>
      <c r="V65" s="6">
        <f t="shared" si="49"/>
        <v>0</v>
      </c>
      <c r="W65" s="2"/>
      <c r="X65" s="7">
        <f t="shared" si="50"/>
        <v>-780</v>
      </c>
      <c r="Y65" s="2"/>
      <c r="Z65" s="6">
        <f t="shared" si="51"/>
        <v>-1</v>
      </c>
    </row>
    <row r="66" spans="1:26" s="24" customFormat="1" hidden="1" outlineLevel="2" x14ac:dyDescent="0.25">
      <c r="A66" s="26"/>
      <c r="B66" s="11" t="str">
        <f>CONCATENATE("          ", "6314", " - ", "LIABILITY INSURANCE")</f>
        <v xml:space="preserve">          6314 - LIABILITY INSURANCE</v>
      </c>
      <c r="C66" s="11"/>
      <c r="D66" s="7">
        <v>393.67</v>
      </c>
      <c r="E66" s="2"/>
      <c r="F66" s="6">
        <f t="shared" si="44"/>
        <v>0</v>
      </c>
      <c r="G66" s="2"/>
      <c r="H66" s="7">
        <v>432</v>
      </c>
      <c r="I66" s="2"/>
      <c r="J66" s="6">
        <f t="shared" si="45"/>
        <v>0</v>
      </c>
      <c r="K66" s="2"/>
      <c r="L66" s="7">
        <f t="shared" si="46"/>
        <v>-38.329999999999984</v>
      </c>
      <c r="M66" s="2"/>
      <c r="N66" s="6">
        <f t="shared" si="47"/>
        <v>-8.8726851851851821E-2</v>
      </c>
      <c r="O66" s="11"/>
      <c r="P66" s="7">
        <v>3543.03</v>
      </c>
      <c r="Q66" s="2"/>
      <c r="R66" s="6">
        <f t="shared" si="48"/>
        <v>0</v>
      </c>
      <c r="S66" s="2"/>
      <c r="T66" s="7">
        <v>4427</v>
      </c>
      <c r="U66" s="2"/>
      <c r="V66" s="6">
        <f t="shared" si="49"/>
        <v>0</v>
      </c>
      <c r="W66" s="2"/>
      <c r="X66" s="7">
        <f t="shared" si="50"/>
        <v>-883.9699999999998</v>
      </c>
      <c r="Y66" s="2"/>
      <c r="Z66" s="6">
        <f t="shared" si="51"/>
        <v>-0.19967698215495816</v>
      </c>
    </row>
    <row r="67" spans="1:26" s="25" customFormat="1" outlineLevel="1" collapsed="1" x14ac:dyDescent="0.25">
      <c r="A67" s="27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SUM(OSRRefD22_12x_0)</f>
        <v>0</v>
      </c>
      <c r="E67" s="1"/>
      <c r="F67" s="5">
        <f t="shared" ref="F67:F71" si="52">IF(D$12=0,0,D67/D$12)</f>
        <v>0</v>
      </c>
      <c r="G67" s="1"/>
      <c r="H67" s="1">
        <f>SUM(OSRRefH22_12x_0)</f>
        <v>12333</v>
      </c>
      <c r="I67" s="1"/>
      <c r="J67" s="5">
        <f t="shared" ref="J67:J71" si="53">IF(H$12=0,0,H67/H$12)</f>
        <v>0</v>
      </c>
      <c r="K67" s="1"/>
      <c r="L67" s="1">
        <f t="shared" ref="L67:L71" si="54">+D67-H67</f>
        <v>-12333</v>
      </c>
      <c r="M67" s="1"/>
      <c r="N67" s="5">
        <f t="shared" ref="N67:N71" si="55">IF(H67=0,0,L67/H67)</f>
        <v>-1</v>
      </c>
      <c r="O67" s="13"/>
      <c r="P67" s="1">
        <f>SUM(OSRRefP22_12x_0)</f>
        <v>94181.37000000001</v>
      </c>
      <c r="Q67" s="1"/>
      <c r="R67" s="5">
        <f t="shared" ref="R67:R71" si="56">IF(P$12=0,0,P67/P$12)</f>
        <v>0</v>
      </c>
      <c r="S67" s="1"/>
      <c r="T67" s="1">
        <f>SUM(OSRRefT22_12x_0)</f>
        <v>147997</v>
      </c>
      <c r="U67" s="1"/>
      <c r="V67" s="5">
        <f t="shared" ref="V67:V71" si="57">IF(T$12=0,0,T67/T$12)</f>
        <v>0</v>
      </c>
      <c r="W67" s="1"/>
      <c r="X67" s="1">
        <f t="shared" ref="X67:X71" si="58">+P67-T67</f>
        <v>-53815.62999999999</v>
      </c>
      <c r="Y67" s="1"/>
      <c r="Z67" s="5">
        <f t="shared" ref="Z67:Z71" si="59">IF(T67=0,0,X67/T67)</f>
        <v>-0.36362649242890049</v>
      </c>
    </row>
    <row r="68" spans="1:26" s="24" customFormat="1" hidden="1" outlineLevel="2" x14ac:dyDescent="0.25">
      <c r="A68" s="26"/>
      <c r="B68" s="11" t="str">
        <f>CONCATENATE("          ", "6331", " - ", "INDIRECT COSTS-AUXILIARY ORGAN")</f>
        <v xml:space="preserve">          6331 - INDIRECT COSTS-AUXILIARY ORGAN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>
        <v>80832.25</v>
      </c>
      <c r="Q68" s="2"/>
      <c r="R68" s="6">
        <f t="shared" si="56"/>
        <v>0</v>
      </c>
      <c r="S68" s="2"/>
      <c r="T68" s="7">
        <v>89500</v>
      </c>
      <c r="U68" s="2"/>
      <c r="V68" s="6">
        <f t="shared" si="57"/>
        <v>0</v>
      </c>
      <c r="W68" s="2"/>
      <c r="X68" s="7">
        <f t="shared" si="58"/>
        <v>-8667.75</v>
      </c>
      <c r="Y68" s="2"/>
      <c r="Z68" s="6">
        <f t="shared" si="59"/>
        <v>-9.68463687150838E-2</v>
      </c>
    </row>
    <row r="69" spans="1:26" s="24" customFormat="1" hidden="1" outlineLevel="2" x14ac:dyDescent="0.25">
      <c r="A69" s="26"/>
      <c r="B69" s="11" t="str">
        <f>CONCATENATE("          ", "6332", " - ", "CONSULTANT FEES")</f>
        <v xml:space="preserve">          6332 - CONSULTANT FEES</v>
      </c>
      <c r="C69" s="11"/>
      <c r="D69" s="7"/>
      <c r="E69" s="2"/>
      <c r="F69" s="6">
        <f t="shared" si="52"/>
        <v>0</v>
      </c>
      <c r="G69" s="2"/>
      <c r="H69" s="7">
        <v>10250</v>
      </c>
      <c r="I69" s="2"/>
      <c r="J69" s="6">
        <f t="shared" si="53"/>
        <v>0</v>
      </c>
      <c r="K69" s="2"/>
      <c r="L69" s="7">
        <f t="shared" si="54"/>
        <v>-10250</v>
      </c>
      <c r="M69" s="2"/>
      <c r="N69" s="6">
        <f t="shared" si="55"/>
        <v>-1</v>
      </c>
      <c r="O69" s="11"/>
      <c r="P69" s="7"/>
      <c r="Q69" s="2"/>
      <c r="R69" s="6">
        <f t="shared" si="56"/>
        <v>0</v>
      </c>
      <c r="S69" s="2"/>
      <c r="T69" s="7">
        <v>30250</v>
      </c>
      <c r="U69" s="2"/>
      <c r="V69" s="6">
        <f t="shared" si="57"/>
        <v>0</v>
      </c>
      <c r="W69" s="2"/>
      <c r="X69" s="7">
        <f t="shared" si="58"/>
        <v>-30250</v>
      </c>
      <c r="Y69" s="2"/>
      <c r="Z69" s="6">
        <f t="shared" si="59"/>
        <v>-1</v>
      </c>
    </row>
    <row r="70" spans="1:26" s="24" customFormat="1" hidden="1" outlineLevel="2" x14ac:dyDescent="0.25">
      <c r="A70" s="26"/>
      <c r="B70" s="11" t="str">
        <f>CONCATENATE("          ", "6334", " - ", "LEGAL COUNCIL EXPENSE")</f>
        <v xml:space="preserve">          6334 - LEGAL COUNCIL EXPENSE</v>
      </c>
      <c r="C70" s="11"/>
      <c r="D70" s="7"/>
      <c r="E70" s="2"/>
      <c r="F70" s="6">
        <f t="shared" si="52"/>
        <v>0</v>
      </c>
      <c r="G70" s="2"/>
      <c r="H70" s="7">
        <v>833</v>
      </c>
      <c r="I70" s="2"/>
      <c r="J70" s="6">
        <f t="shared" si="53"/>
        <v>0</v>
      </c>
      <c r="K70" s="2"/>
      <c r="L70" s="7">
        <f t="shared" si="54"/>
        <v>-833</v>
      </c>
      <c r="M70" s="2"/>
      <c r="N70" s="6">
        <f t="shared" si="55"/>
        <v>-1</v>
      </c>
      <c r="O70" s="11"/>
      <c r="P70" s="7">
        <v>6979.24</v>
      </c>
      <c r="Q70" s="2"/>
      <c r="R70" s="6">
        <f t="shared" si="56"/>
        <v>0</v>
      </c>
      <c r="S70" s="2"/>
      <c r="T70" s="7">
        <v>11997</v>
      </c>
      <c r="U70" s="2"/>
      <c r="V70" s="6">
        <f t="shared" si="57"/>
        <v>0</v>
      </c>
      <c r="W70" s="2"/>
      <c r="X70" s="7">
        <f t="shared" si="58"/>
        <v>-5017.76</v>
      </c>
      <c r="Y70" s="2"/>
      <c r="Z70" s="6">
        <f t="shared" si="59"/>
        <v>-0.4182512294740352</v>
      </c>
    </row>
    <row r="71" spans="1:26" s="24" customFormat="1" hidden="1" outlineLevel="2" x14ac:dyDescent="0.25">
      <c r="A71" s="26"/>
      <c r="B71" s="11" t="str">
        <f>CONCATENATE("          ", "6336", " - ", "PROFESSIONAL SERVICES")</f>
        <v xml:space="preserve">          6336 - PROFESSIONAL SERVICES</v>
      </c>
      <c r="C71" s="11"/>
      <c r="D71" s="7"/>
      <c r="E71" s="2"/>
      <c r="F71" s="6">
        <f t="shared" si="52"/>
        <v>0</v>
      </c>
      <c r="G71" s="2"/>
      <c r="H71" s="7">
        <v>1250</v>
      </c>
      <c r="I71" s="2"/>
      <c r="J71" s="6">
        <f t="shared" si="53"/>
        <v>0</v>
      </c>
      <c r="K71" s="2"/>
      <c r="L71" s="7">
        <f t="shared" si="54"/>
        <v>-1250</v>
      </c>
      <c r="M71" s="2"/>
      <c r="N71" s="6">
        <f t="shared" si="55"/>
        <v>-1</v>
      </c>
      <c r="O71" s="11"/>
      <c r="P71" s="7">
        <v>6369.88</v>
      </c>
      <c r="Q71" s="2"/>
      <c r="R71" s="6">
        <f t="shared" si="56"/>
        <v>0</v>
      </c>
      <c r="S71" s="2"/>
      <c r="T71" s="7">
        <v>16250</v>
      </c>
      <c r="U71" s="2"/>
      <c r="V71" s="6">
        <f t="shared" si="57"/>
        <v>0</v>
      </c>
      <c r="W71" s="2"/>
      <c r="X71" s="7">
        <f t="shared" si="58"/>
        <v>-9880.119999999999</v>
      </c>
      <c r="Y71" s="2"/>
      <c r="Z71" s="6">
        <f t="shared" si="59"/>
        <v>-0.60800738461538451</v>
      </c>
    </row>
    <row r="72" spans="1:26" s="25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SUM(OSRRefD22_13x_0)</f>
        <v>43851.63</v>
      </c>
      <c r="E72" s="1"/>
      <c r="F72" s="5">
        <f t="shared" ref="F72:F76" si="60">IF(D$12=0,0,D72/D$12)</f>
        <v>0</v>
      </c>
      <c r="G72" s="1"/>
      <c r="H72" s="1">
        <f>SUM(OSRRefH22_13x_0)</f>
        <v>41502</v>
      </c>
      <c r="I72" s="1"/>
      <c r="J72" s="5">
        <f t="shared" ref="J72:J76" si="61">IF(H$12=0,0,H72/H$12)</f>
        <v>0</v>
      </c>
      <c r="K72" s="1"/>
      <c r="L72" s="1">
        <f t="shared" ref="L72:L76" si="62">+D72-H72</f>
        <v>2349.6299999999974</v>
      </c>
      <c r="M72" s="1"/>
      <c r="N72" s="5">
        <f t="shared" ref="N72:N76" si="63">IF(H72=0,0,L72/H72)</f>
        <v>5.6614861934364547E-2</v>
      </c>
      <c r="O72" s="13"/>
      <c r="P72" s="1">
        <f>SUM(OSRRefP22_13x_0)</f>
        <v>222598.12</v>
      </c>
      <c r="Q72" s="1"/>
      <c r="R72" s="5">
        <f t="shared" ref="R72:R76" si="64">IF(P$12=0,0,P72/P$12)</f>
        <v>0</v>
      </c>
      <c r="S72" s="1"/>
      <c r="T72" s="1">
        <f>SUM(OSRRefT22_13x_0)</f>
        <v>256018</v>
      </c>
      <c r="U72" s="1"/>
      <c r="V72" s="5">
        <f t="shared" ref="V72:V76" si="65">IF(T$12=0,0,T72/T$12)</f>
        <v>0</v>
      </c>
      <c r="W72" s="1"/>
      <c r="X72" s="1">
        <f t="shared" ref="X72:X76" si="66">+P72-T72</f>
        <v>-33419.880000000005</v>
      </c>
      <c r="Y72" s="1"/>
      <c r="Z72" s="5">
        <f t="shared" ref="Z72:Z76" si="67">IF(T72=0,0,X72/T72)</f>
        <v>-0.13053722785116673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28902.76</v>
      </c>
      <c r="E73" s="2"/>
      <c r="F73" s="6">
        <f t="shared" si="60"/>
        <v>0</v>
      </c>
      <c r="G73" s="2"/>
      <c r="H73" s="7">
        <v>23570</v>
      </c>
      <c r="I73" s="2"/>
      <c r="J73" s="6">
        <f t="shared" si="61"/>
        <v>0</v>
      </c>
      <c r="K73" s="2"/>
      <c r="L73" s="7">
        <f t="shared" si="62"/>
        <v>5332.7599999999984</v>
      </c>
      <c r="M73" s="2"/>
      <c r="N73" s="6">
        <f t="shared" si="63"/>
        <v>0.22625201527365288</v>
      </c>
      <c r="O73" s="11"/>
      <c r="P73" s="7">
        <v>81288.509999999995</v>
      </c>
      <c r="Q73" s="2"/>
      <c r="R73" s="6">
        <f t="shared" si="64"/>
        <v>0</v>
      </c>
      <c r="S73" s="2"/>
      <c r="T73" s="7">
        <v>102630</v>
      </c>
      <c r="U73" s="2"/>
      <c r="V73" s="6">
        <f t="shared" si="65"/>
        <v>0</v>
      </c>
      <c r="W73" s="2"/>
      <c r="X73" s="7">
        <f t="shared" si="66"/>
        <v>-21341.490000000005</v>
      </c>
      <c r="Y73" s="2"/>
      <c r="Z73" s="6">
        <f t="shared" si="67"/>
        <v>-0.20794592224495767</v>
      </c>
    </row>
    <row r="74" spans="1:26" s="24" customFormat="1" hidden="1" outlineLevel="2" x14ac:dyDescent="0.25">
      <c r="A74" s="26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60"/>
        <v>0</v>
      </c>
      <c r="G74" s="2"/>
      <c r="H74" s="7">
        <v>1600</v>
      </c>
      <c r="I74" s="2"/>
      <c r="J74" s="6">
        <f t="shared" si="61"/>
        <v>0</v>
      </c>
      <c r="K74" s="2"/>
      <c r="L74" s="7">
        <f t="shared" si="62"/>
        <v>-1600</v>
      </c>
      <c r="M74" s="2"/>
      <c r="N74" s="6">
        <f t="shared" si="63"/>
        <v>-1</v>
      </c>
      <c r="O74" s="11"/>
      <c r="P74" s="7"/>
      <c r="Q74" s="2"/>
      <c r="R74" s="6">
        <f t="shared" si="64"/>
        <v>0</v>
      </c>
      <c r="S74" s="2"/>
      <c r="T74" s="7">
        <v>14400</v>
      </c>
      <c r="U74" s="2"/>
      <c r="V74" s="6">
        <f t="shared" si="65"/>
        <v>0</v>
      </c>
      <c r="W74" s="2"/>
      <c r="X74" s="7">
        <f t="shared" si="66"/>
        <v>-14400</v>
      </c>
      <c r="Y74" s="2"/>
      <c r="Z74" s="6">
        <f t="shared" si="67"/>
        <v>-1</v>
      </c>
    </row>
    <row r="75" spans="1:26" s="24" customFormat="1" hidden="1" outlineLevel="2" x14ac:dyDescent="0.25">
      <c r="A75" s="26"/>
      <c r="B75" s="11" t="str">
        <f>CONCATENATE("          ", "6373", " - ", "MAINTENANCE CONTRACTS")</f>
        <v xml:space="preserve">          6373 - MAINTENANCE CONTRACTS</v>
      </c>
      <c r="C75" s="11"/>
      <c r="D75" s="7">
        <v>14948.87</v>
      </c>
      <c r="E75" s="2"/>
      <c r="F75" s="6">
        <f t="shared" si="60"/>
        <v>0</v>
      </c>
      <c r="G75" s="2"/>
      <c r="H75" s="7">
        <v>16332</v>
      </c>
      <c r="I75" s="2"/>
      <c r="J75" s="6">
        <f t="shared" si="61"/>
        <v>0</v>
      </c>
      <c r="K75" s="2"/>
      <c r="L75" s="7">
        <f t="shared" si="62"/>
        <v>-1383.1299999999992</v>
      </c>
      <c r="M75" s="2"/>
      <c r="N75" s="6">
        <f t="shared" si="63"/>
        <v>-8.4688341905461623E-2</v>
      </c>
      <c r="O75" s="11"/>
      <c r="P75" s="7">
        <v>139012.29999999999</v>
      </c>
      <c r="Q75" s="2"/>
      <c r="R75" s="6">
        <f t="shared" si="64"/>
        <v>0</v>
      </c>
      <c r="S75" s="2"/>
      <c r="T75" s="7">
        <v>138988</v>
      </c>
      <c r="U75" s="2"/>
      <c r="V75" s="6">
        <f t="shared" si="65"/>
        <v>0</v>
      </c>
      <c r="W75" s="2"/>
      <c r="X75" s="7">
        <f t="shared" si="66"/>
        <v>24.299999999988358</v>
      </c>
      <c r="Y75" s="2"/>
      <c r="Z75" s="6">
        <f t="shared" si="67"/>
        <v>1.748352375743831E-4</v>
      </c>
    </row>
    <row r="76" spans="1:26" s="24" customFormat="1" hidden="1" outlineLevel="2" x14ac:dyDescent="0.25">
      <c r="A76" s="26"/>
      <c r="B76" s="11" t="str">
        <f>CONCATENATE("          ", "6375", " - ", "OUTSIDE REPAIRS &amp; MAINTENANCE")</f>
        <v xml:space="preserve">          6375 - OUTSIDE REPAIRS &amp; MAINTENANCE</v>
      </c>
      <c r="C76" s="11"/>
      <c r="D76" s="7"/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0</v>
      </c>
      <c r="M76" s="2"/>
      <c r="N76" s="6">
        <f t="shared" si="63"/>
        <v>0</v>
      </c>
      <c r="O76" s="11"/>
      <c r="P76" s="7">
        <v>2297.31</v>
      </c>
      <c r="Q76" s="2"/>
      <c r="R76" s="6">
        <f t="shared" si="64"/>
        <v>0</v>
      </c>
      <c r="S76" s="2"/>
      <c r="T76" s="7"/>
      <c r="U76" s="2"/>
      <c r="V76" s="6">
        <f t="shared" si="65"/>
        <v>0</v>
      </c>
      <c r="W76" s="2"/>
      <c r="X76" s="7">
        <f t="shared" si="66"/>
        <v>2297.31</v>
      </c>
      <c r="Y76" s="2"/>
      <c r="Z76" s="6">
        <f t="shared" si="67"/>
        <v>0</v>
      </c>
    </row>
    <row r="77" spans="1:26" s="25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SUM(OSRRefD22_14x_0)</f>
        <v>1251.32</v>
      </c>
      <c r="E77" s="1"/>
      <c r="F77" s="5">
        <f t="shared" ref="F77:F79" si="68">IF(D$12=0,0,D77/D$12)</f>
        <v>0</v>
      </c>
      <c r="G77" s="1"/>
      <c r="H77" s="1">
        <f>SUM(OSRRefH22_14x_0)</f>
        <v>525</v>
      </c>
      <c r="I77" s="1"/>
      <c r="J77" s="5">
        <f t="shared" ref="J77:J79" si="69">IF(H$12=0,0,H77/H$12)</f>
        <v>0</v>
      </c>
      <c r="K77" s="1"/>
      <c r="L77" s="1">
        <f t="shared" ref="L77:L79" si="70">+D77-H77</f>
        <v>726.31999999999994</v>
      </c>
      <c r="M77" s="1"/>
      <c r="N77" s="5">
        <f t="shared" ref="N77:N79" si="71">IF(H77=0,0,L77/H77)</f>
        <v>1.3834666666666666</v>
      </c>
      <c r="O77" s="13"/>
      <c r="P77" s="1">
        <f>SUM(OSRRefP22_14x_0)</f>
        <v>5580.34</v>
      </c>
      <c r="Q77" s="1"/>
      <c r="R77" s="5">
        <f t="shared" ref="R77:R79" si="72">IF(P$12=0,0,P77/P$12)</f>
        <v>0</v>
      </c>
      <c r="S77" s="1"/>
      <c r="T77" s="1">
        <f>SUM(OSRRefT22_14x_0)</f>
        <v>4725</v>
      </c>
      <c r="U77" s="1"/>
      <c r="V77" s="5">
        <f t="shared" ref="V77:V79" si="73">IF(T$12=0,0,T77/T$12)</f>
        <v>0</v>
      </c>
      <c r="W77" s="1"/>
      <c r="X77" s="1">
        <f t="shared" ref="X77:X79" si="74">+P77-T77</f>
        <v>855.34000000000015</v>
      </c>
      <c r="Y77" s="1"/>
      <c r="Z77" s="5">
        <f t="shared" ref="Z77:Z79" si="75">IF(T77=0,0,X77/T77)</f>
        <v>0.18102433862433864</v>
      </c>
    </row>
    <row r="78" spans="1:26" s="24" customFormat="1" hidden="1" outlineLevel="2" x14ac:dyDescent="0.25">
      <c r="A78" s="26"/>
      <c r="B78" s="11" t="str">
        <f>CONCATENATE("          ", "6281", " - ", "STORAGE FEE")</f>
        <v xml:space="preserve">          6281 - STORAGE FEE</v>
      </c>
      <c r="C78" s="11"/>
      <c r="D78" s="7">
        <v>1251.32</v>
      </c>
      <c r="E78" s="2"/>
      <c r="F78" s="6">
        <f t="shared" si="68"/>
        <v>0</v>
      </c>
      <c r="G78" s="2"/>
      <c r="H78" s="7">
        <v>500</v>
      </c>
      <c r="I78" s="2"/>
      <c r="J78" s="6">
        <f t="shared" si="69"/>
        <v>0</v>
      </c>
      <c r="K78" s="2"/>
      <c r="L78" s="7">
        <f t="shared" si="70"/>
        <v>751.31999999999994</v>
      </c>
      <c r="M78" s="2"/>
      <c r="N78" s="6">
        <f t="shared" si="71"/>
        <v>1.50264</v>
      </c>
      <c r="O78" s="11"/>
      <c r="P78" s="7">
        <v>5580.34</v>
      </c>
      <c r="Q78" s="2"/>
      <c r="R78" s="6">
        <f t="shared" si="72"/>
        <v>0</v>
      </c>
      <c r="S78" s="2"/>
      <c r="T78" s="7">
        <v>4500</v>
      </c>
      <c r="U78" s="2"/>
      <c r="V78" s="6">
        <f t="shared" si="73"/>
        <v>0</v>
      </c>
      <c r="W78" s="2"/>
      <c r="X78" s="7">
        <f t="shared" si="74"/>
        <v>1080.3400000000001</v>
      </c>
      <c r="Y78" s="2"/>
      <c r="Z78" s="6">
        <f t="shared" si="75"/>
        <v>0.2400755555555556</v>
      </c>
    </row>
    <row r="79" spans="1:26" s="24" customFormat="1" hidden="1" outlineLevel="2" x14ac:dyDescent="0.25">
      <c r="A79" s="26"/>
      <c r="B79" s="11" t="str">
        <f>CONCATENATE("          ", "6286", " - ", "LAUNDRY EXPENSE")</f>
        <v xml:space="preserve">          6286 - LAUNDRY EXPENSE</v>
      </c>
      <c r="C79" s="11"/>
      <c r="D79" s="7"/>
      <c r="E79" s="2"/>
      <c r="F79" s="6">
        <f t="shared" si="68"/>
        <v>0</v>
      </c>
      <c r="G79" s="2"/>
      <c r="H79" s="7">
        <v>25</v>
      </c>
      <c r="I79" s="2"/>
      <c r="J79" s="6">
        <f t="shared" si="69"/>
        <v>0</v>
      </c>
      <c r="K79" s="2"/>
      <c r="L79" s="7">
        <f t="shared" si="70"/>
        <v>-25</v>
      </c>
      <c r="M79" s="2"/>
      <c r="N79" s="6">
        <f t="shared" si="71"/>
        <v>-1</v>
      </c>
      <c r="O79" s="11"/>
      <c r="P79" s="7"/>
      <c r="Q79" s="2"/>
      <c r="R79" s="6">
        <f t="shared" si="72"/>
        <v>0</v>
      </c>
      <c r="S79" s="2"/>
      <c r="T79" s="7">
        <v>225</v>
      </c>
      <c r="U79" s="2"/>
      <c r="V79" s="6">
        <f t="shared" si="73"/>
        <v>0</v>
      </c>
      <c r="W79" s="2"/>
      <c r="X79" s="7">
        <f t="shared" si="74"/>
        <v>-225</v>
      </c>
      <c r="Y79" s="2"/>
      <c r="Z79" s="6">
        <f t="shared" si="75"/>
        <v>-1</v>
      </c>
    </row>
    <row r="80" spans="1:26" s="25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SUM(OSRRefD22_15x_0)</f>
        <v>0</v>
      </c>
      <c r="E80" s="1"/>
      <c r="F80" s="5">
        <f t="shared" ref="F80:F82" si="76">IF(D$12=0,0,D80/D$12)</f>
        <v>0</v>
      </c>
      <c r="G80" s="1"/>
      <c r="H80" s="1">
        <f>SUM(OSRRefH22_15x_0)</f>
        <v>155</v>
      </c>
      <c r="I80" s="1"/>
      <c r="J80" s="5">
        <f t="shared" ref="J80:J82" si="77">IF(H$12=0,0,H80/H$12)</f>
        <v>0</v>
      </c>
      <c r="K80" s="1"/>
      <c r="L80" s="1">
        <f t="shared" ref="L80:L82" si="78">+D80-H80</f>
        <v>-155</v>
      </c>
      <c r="M80" s="1"/>
      <c r="N80" s="5">
        <f t="shared" ref="N80:N82" si="79">IF(H80=0,0,L80/H80)</f>
        <v>-1</v>
      </c>
      <c r="O80" s="13"/>
      <c r="P80" s="1">
        <f>SUM(OSRRefP22_15x_0)</f>
        <v>3054.99</v>
      </c>
      <c r="Q80" s="1"/>
      <c r="R80" s="5">
        <f t="shared" ref="R80:R82" si="80">IF(P$12=0,0,P80/P$12)</f>
        <v>0</v>
      </c>
      <c r="S80" s="1"/>
      <c r="T80" s="1">
        <f>SUM(OSRRefT22_15x_0)</f>
        <v>4145</v>
      </c>
      <c r="U80" s="1"/>
      <c r="V80" s="5">
        <f t="shared" ref="V80:V82" si="81">IF(T$12=0,0,T80/T$12)</f>
        <v>0</v>
      </c>
      <c r="W80" s="1"/>
      <c r="X80" s="1">
        <f t="shared" ref="X80:X82" si="82">+P80-T80</f>
        <v>-1090.0100000000002</v>
      </c>
      <c r="Y80" s="1"/>
      <c r="Z80" s="5">
        <f t="shared" ref="Z80:Z82" si="83">IF(T80=0,0,X80/T80)</f>
        <v>-0.26296984318455974</v>
      </c>
    </row>
    <row r="81" spans="1:26" s="24" customFormat="1" hidden="1" outlineLevel="2" x14ac:dyDescent="0.25">
      <c r="A81" s="26"/>
      <c r="B81" s="11" t="str">
        <f>CONCATENATE("          ", "6258", " - ", "MEMBERSHIP DUES")</f>
        <v xml:space="preserve">          6258 - MEMBERSHIP DUES</v>
      </c>
      <c r="C81" s="11"/>
      <c r="D81" s="7"/>
      <c r="E81" s="2"/>
      <c r="F81" s="6">
        <f t="shared" si="76"/>
        <v>0</v>
      </c>
      <c r="G81" s="2"/>
      <c r="H81" s="7">
        <v>55</v>
      </c>
      <c r="I81" s="2"/>
      <c r="J81" s="6">
        <f t="shared" si="77"/>
        <v>0</v>
      </c>
      <c r="K81" s="2"/>
      <c r="L81" s="7">
        <f t="shared" si="78"/>
        <v>-55</v>
      </c>
      <c r="M81" s="2"/>
      <c r="N81" s="6">
        <f t="shared" si="79"/>
        <v>-1</v>
      </c>
      <c r="O81" s="11"/>
      <c r="P81" s="7">
        <v>3054.99</v>
      </c>
      <c r="Q81" s="2"/>
      <c r="R81" s="6">
        <f t="shared" si="80"/>
        <v>0</v>
      </c>
      <c r="S81" s="2"/>
      <c r="T81" s="7">
        <v>3245</v>
      </c>
      <c r="U81" s="2"/>
      <c r="V81" s="6">
        <f t="shared" si="81"/>
        <v>0</v>
      </c>
      <c r="W81" s="2"/>
      <c r="X81" s="7">
        <f t="shared" si="82"/>
        <v>-190.01000000000022</v>
      </c>
      <c r="Y81" s="2"/>
      <c r="Z81" s="6">
        <f t="shared" si="83"/>
        <v>-5.855469953775045E-2</v>
      </c>
    </row>
    <row r="82" spans="1:26" s="24" customFormat="1" hidden="1" outlineLevel="2" x14ac:dyDescent="0.25">
      <c r="A82" s="26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76"/>
        <v>0</v>
      </c>
      <c r="G82" s="2"/>
      <c r="H82" s="7">
        <v>100</v>
      </c>
      <c r="I82" s="2"/>
      <c r="J82" s="6">
        <f t="shared" si="77"/>
        <v>0</v>
      </c>
      <c r="K82" s="2"/>
      <c r="L82" s="7">
        <f t="shared" si="78"/>
        <v>-100</v>
      </c>
      <c r="M82" s="2"/>
      <c r="N82" s="6">
        <f t="shared" si="79"/>
        <v>-1</v>
      </c>
      <c r="O82" s="11"/>
      <c r="P82" s="7"/>
      <c r="Q82" s="2"/>
      <c r="R82" s="6">
        <f t="shared" si="80"/>
        <v>0</v>
      </c>
      <c r="S82" s="2"/>
      <c r="T82" s="7">
        <v>900</v>
      </c>
      <c r="U82" s="2"/>
      <c r="V82" s="6">
        <f t="shared" si="81"/>
        <v>0</v>
      </c>
      <c r="W82" s="2"/>
      <c r="X82" s="7">
        <f t="shared" si="82"/>
        <v>-900</v>
      </c>
      <c r="Y82" s="2"/>
      <c r="Z82" s="6">
        <f t="shared" si="83"/>
        <v>-1</v>
      </c>
    </row>
    <row r="83" spans="1:26" s="25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SUM(OSRRefD22_16x_0)</f>
        <v>446.47</v>
      </c>
      <c r="E83" s="1"/>
      <c r="F83" s="5">
        <f t="shared" ref="F83:F88" si="84">IF(D$12=0,0,D83/D$12)</f>
        <v>0</v>
      </c>
      <c r="G83" s="1"/>
      <c r="H83" s="1">
        <f>SUM(OSRRefH22_16x_0)</f>
        <v>4917</v>
      </c>
      <c r="I83" s="1"/>
      <c r="J83" s="5">
        <f t="shared" ref="J83:J88" si="85">IF(H$12=0,0,H83/H$12)</f>
        <v>0</v>
      </c>
      <c r="K83" s="1"/>
      <c r="L83" s="1">
        <f t="shared" ref="L83:L88" si="86">+D83-H83</f>
        <v>-4470.53</v>
      </c>
      <c r="M83" s="1"/>
      <c r="N83" s="5">
        <f t="shared" ref="N83:N88" si="87">IF(H83=0,0,L83/H83)</f>
        <v>-0.90919869839332923</v>
      </c>
      <c r="O83" s="13"/>
      <c r="P83" s="1">
        <f>SUM(OSRRefP22_16x_0)</f>
        <v>3354.54</v>
      </c>
      <c r="Q83" s="1"/>
      <c r="R83" s="5">
        <f t="shared" ref="R83:R88" si="88">IF(P$12=0,0,P83/P$12)</f>
        <v>0</v>
      </c>
      <c r="S83" s="1"/>
      <c r="T83" s="1">
        <f>SUM(OSRRefT22_16x_0)</f>
        <v>58337</v>
      </c>
      <c r="U83" s="1"/>
      <c r="V83" s="5">
        <f t="shared" ref="V83:V88" si="89">IF(T$12=0,0,T83/T$12)</f>
        <v>0</v>
      </c>
      <c r="W83" s="1"/>
      <c r="X83" s="1">
        <f t="shared" ref="X83:X88" si="90">+P83-T83</f>
        <v>-54982.46</v>
      </c>
      <c r="Y83" s="1"/>
      <c r="Z83" s="5">
        <f t="shared" ref="Z83:Z88" si="91">IF(T83=0,0,X83/T83)</f>
        <v>-0.94249721446080525</v>
      </c>
    </row>
    <row r="84" spans="1:26" s="24" customFormat="1" hidden="1" outlineLevel="2" x14ac:dyDescent="0.25">
      <c r="A84" s="26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84"/>
        <v>0</v>
      </c>
      <c r="G84" s="2"/>
      <c r="H84" s="7">
        <v>1000</v>
      </c>
      <c r="I84" s="2"/>
      <c r="J84" s="6">
        <f t="shared" si="85"/>
        <v>0</v>
      </c>
      <c r="K84" s="2"/>
      <c r="L84" s="7">
        <f t="shared" si="86"/>
        <v>-1000</v>
      </c>
      <c r="M84" s="2"/>
      <c r="N84" s="6">
        <f t="shared" si="87"/>
        <v>-1</v>
      </c>
      <c r="O84" s="11"/>
      <c r="P84" s="7"/>
      <c r="Q84" s="2"/>
      <c r="R84" s="6">
        <f t="shared" si="88"/>
        <v>0</v>
      </c>
      <c r="S84" s="2"/>
      <c r="T84" s="7">
        <v>18584</v>
      </c>
      <c r="U84" s="2"/>
      <c r="V84" s="6">
        <f t="shared" si="89"/>
        <v>0</v>
      </c>
      <c r="W84" s="2"/>
      <c r="X84" s="7">
        <f t="shared" si="90"/>
        <v>-18584</v>
      </c>
      <c r="Y84" s="2"/>
      <c r="Z84" s="6">
        <f t="shared" si="91"/>
        <v>-1</v>
      </c>
    </row>
    <row r="85" spans="1:26" s="24" customFormat="1" hidden="1" outlineLevel="2" x14ac:dyDescent="0.25">
      <c r="A85" s="26"/>
      <c r="B85" s="11" t="str">
        <f>CONCATENATE("          ", "6235", " - ", "COVID-19 EXPENSES")</f>
        <v xml:space="preserve">          6235 - COVID-19 EXPENSES</v>
      </c>
      <c r="C85" s="11"/>
      <c r="D85" s="7"/>
      <c r="E85" s="2"/>
      <c r="F85" s="6">
        <f t="shared" si="84"/>
        <v>0</v>
      </c>
      <c r="G85" s="2"/>
      <c r="H85" s="7">
        <v>917</v>
      </c>
      <c r="I85" s="2"/>
      <c r="J85" s="6">
        <f t="shared" si="85"/>
        <v>0</v>
      </c>
      <c r="K85" s="2"/>
      <c r="L85" s="7">
        <f t="shared" si="86"/>
        <v>-917</v>
      </c>
      <c r="M85" s="2"/>
      <c r="N85" s="6">
        <f t="shared" si="87"/>
        <v>-1</v>
      </c>
      <c r="O85" s="11"/>
      <c r="P85" s="7">
        <v>810.3</v>
      </c>
      <c r="Q85" s="2"/>
      <c r="R85" s="6">
        <f t="shared" si="88"/>
        <v>0</v>
      </c>
      <c r="S85" s="2"/>
      <c r="T85" s="7">
        <v>5253</v>
      </c>
      <c r="U85" s="2"/>
      <c r="V85" s="6">
        <f t="shared" si="89"/>
        <v>0</v>
      </c>
      <c r="W85" s="2"/>
      <c r="X85" s="7">
        <f t="shared" si="90"/>
        <v>-4442.7</v>
      </c>
      <c r="Y85" s="2"/>
      <c r="Z85" s="6">
        <f t="shared" si="91"/>
        <v>-0.84574528840662477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7">
        <v>446.47</v>
      </c>
      <c r="E86" s="2"/>
      <c r="F86" s="6">
        <f t="shared" si="84"/>
        <v>0</v>
      </c>
      <c r="G86" s="2"/>
      <c r="H86" s="7">
        <v>2583</v>
      </c>
      <c r="I86" s="2"/>
      <c r="J86" s="6">
        <f t="shared" si="85"/>
        <v>0</v>
      </c>
      <c r="K86" s="2"/>
      <c r="L86" s="7">
        <f t="shared" si="86"/>
        <v>-2136.5299999999997</v>
      </c>
      <c r="M86" s="2"/>
      <c r="N86" s="6">
        <f t="shared" si="87"/>
        <v>-0.82715060007742924</v>
      </c>
      <c r="O86" s="11"/>
      <c r="P86" s="7">
        <v>2321.5300000000002</v>
      </c>
      <c r="Q86" s="2"/>
      <c r="R86" s="6">
        <f t="shared" si="88"/>
        <v>0</v>
      </c>
      <c r="S86" s="2"/>
      <c r="T86" s="7">
        <v>25747</v>
      </c>
      <c r="U86" s="2"/>
      <c r="V86" s="6">
        <f t="shared" si="89"/>
        <v>0</v>
      </c>
      <c r="W86" s="2"/>
      <c r="X86" s="7">
        <f t="shared" si="90"/>
        <v>-23425.47</v>
      </c>
      <c r="Y86" s="2"/>
      <c r="Z86" s="6">
        <f t="shared" si="91"/>
        <v>-0.9098329902512915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84"/>
        <v>0</v>
      </c>
      <c r="G87" s="2"/>
      <c r="H87" s="7">
        <v>417</v>
      </c>
      <c r="I87" s="2"/>
      <c r="J87" s="6">
        <f t="shared" si="85"/>
        <v>0</v>
      </c>
      <c r="K87" s="2"/>
      <c r="L87" s="7">
        <f t="shared" si="86"/>
        <v>-417</v>
      </c>
      <c r="M87" s="2"/>
      <c r="N87" s="6">
        <f t="shared" si="87"/>
        <v>-1</v>
      </c>
      <c r="O87" s="11"/>
      <c r="P87" s="7">
        <v>222.71</v>
      </c>
      <c r="Q87" s="2"/>
      <c r="R87" s="6">
        <f t="shared" si="88"/>
        <v>0</v>
      </c>
      <c r="S87" s="2"/>
      <c r="T87" s="7">
        <v>3753</v>
      </c>
      <c r="U87" s="2"/>
      <c r="V87" s="6">
        <f t="shared" si="89"/>
        <v>0</v>
      </c>
      <c r="W87" s="2"/>
      <c r="X87" s="7">
        <f t="shared" si="90"/>
        <v>-3530.29</v>
      </c>
      <c r="Y87" s="2"/>
      <c r="Z87" s="6">
        <f t="shared" si="91"/>
        <v>-0.94065814015454308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84"/>
        <v>0</v>
      </c>
      <c r="G88" s="2"/>
      <c r="H88" s="7"/>
      <c r="I88" s="2"/>
      <c r="J88" s="6">
        <f t="shared" si="85"/>
        <v>0</v>
      </c>
      <c r="K88" s="2"/>
      <c r="L88" s="7">
        <f t="shared" si="86"/>
        <v>0</v>
      </c>
      <c r="M88" s="2"/>
      <c r="N88" s="6">
        <f t="shared" si="87"/>
        <v>0</v>
      </c>
      <c r="O88" s="11"/>
      <c r="P88" s="7"/>
      <c r="Q88" s="2"/>
      <c r="R88" s="6">
        <f t="shared" si="88"/>
        <v>0</v>
      </c>
      <c r="S88" s="2"/>
      <c r="T88" s="7">
        <v>5000</v>
      </c>
      <c r="U88" s="2"/>
      <c r="V88" s="6">
        <f t="shared" si="89"/>
        <v>0</v>
      </c>
      <c r="W88" s="2"/>
      <c r="X88" s="7">
        <f t="shared" si="90"/>
        <v>-5000</v>
      </c>
      <c r="Y88" s="2"/>
      <c r="Z88" s="6">
        <f t="shared" si="91"/>
        <v>-1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SUM(OSRRefD22_17x_0)</f>
        <v>1800.76</v>
      </c>
      <c r="E89" s="1"/>
      <c r="F89" s="5">
        <f t="shared" ref="F89:F91" si="92">IF(D$12=0,0,D89/D$12)</f>
        <v>0</v>
      </c>
      <c r="G89" s="1"/>
      <c r="H89" s="1">
        <f>SUM(OSRRefH22_17x_0)</f>
        <v>1585</v>
      </c>
      <c r="I89" s="1"/>
      <c r="J89" s="5">
        <f t="shared" ref="J89:J91" si="93">IF(H$12=0,0,H89/H$12)</f>
        <v>0</v>
      </c>
      <c r="K89" s="1"/>
      <c r="L89" s="1">
        <f t="shared" ref="L89:L91" si="94">+D89-H89</f>
        <v>215.76</v>
      </c>
      <c r="M89" s="1"/>
      <c r="N89" s="5">
        <f t="shared" ref="N89:N91" si="95">IF(H89=0,0,L89/H89)</f>
        <v>0.13612618296529969</v>
      </c>
      <c r="O89" s="13"/>
      <c r="P89" s="1">
        <f>SUM(OSRRefP22_17x_0)</f>
        <v>19151.78</v>
      </c>
      <c r="Q89" s="1"/>
      <c r="R89" s="5">
        <f t="shared" ref="R89:R91" si="96">IF(P$12=0,0,P89/P$12)</f>
        <v>0</v>
      </c>
      <c r="S89" s="1"/>
      <c r="T89" s="1">
        <f>SUM(OSRRefT22_17x_0)</f>
        <v>15165</v>
      </c>
      <c r="U89" s="1"/>
      <c r="V89" s="5">
        <f t="shared" ref="V89:V91" si="97">IF(T$12=0,0,T89/T$12)</f>
        <v>0</v>
      </c>
      <c r="W89" s="1"/>
      <c r="X89" s="1">
        <f t="shared" ref="X89:X91" si="98">+P89-T89</f>
        <v>3986.7799999999988</v>
      </c>
      <c r="Y89" s="1"/>
      <c r="Z89" s="5">
        <f t="shared" ref="Z89:Z91" si="99">IF(T89=0,0,X89/T89)</f>
        <v>0.26289350478074508</v>
      </c>
    </row>
    <row r="90" spans="1:26" s="24" customFormat="1" hidden="1" outlineLevel="2" x14ac:dyDescent="0.25">
      <c r="A90" s="26"/>
      <c r="B90" s="11" t="str">
        <f>CONCATENATE("          ", "6303", " - ", "DATA PHONE LINES")</f>
        <v xml:space="preserve">          6303 - DATA PHONE LINES</v>
      </c>
      <c r="C90" s="11"/>
      <c r="D90" s="7">
        <v>238.97</v>
      </c>
      <c r="E90" s="2"/>
      <c r="F90" s="6">
        <f t="shared" si="92"/>
        <v>0</v>
      </c>
      <c r="G90" s="2"/>
      <c r="H90" s="7">
        <v>335</v>
      </c>
      <c r="I90" s="2"/>
      <c r="J90" s="6">
        <f t="shared" si="93"/>
        <v>0</v>
      </c>
      <c r="K90" s="2"/>
      <c r="L90" s="7">
        <f t="shared" si="94"/>
        <v>-96.03</v>
      </c>
      <c r="M90" s="2"/>
      <c r="N90" s="6">
        <f t="shared" si="95"/>
        <v>-0.28665671641791046</v>
      </c>
      <c r="O90" s="11"/>
      <c r="P90" s="7">
        <v>1241.8399999999999</v>
      </c>
      <c r="Q90" s="2"/>
      <c r="R90" s="6">
        <f t="shared" si="96"/>
        <v>0</v>
      </c>
      <c r="S90" s="2"/>
      <c r="T90" s="7">
        <v>4815</v>
      </c>
      <c r="U90" s="2"/>
      <c r="V90" s="6">
        <f t="shared" si="97"/>
        <v>0</v>
      </c>
      <c r="W90" s="2"/>
      <c r="X90" s="7">
        <f t="shared" si="98"/>
        <v>-3573.16</v>
      </c>
      <c r="Y90" s="2"/>
      <c r="Z90" s="6">
        <f t="shared" si="99"/>
        <v>-0.7420893042575285</v>
      </c>
    </row>
    <row r="91" spans="1:26" s="24" customFormat="1" hidden="1" outlineLevel="2" x14ac:dyDescent="0.25">
      <c r="A91" s="26"/>
      <c r="B91" s="11" t="str">
        <f>CONCATENATE("          ", "6309", " - ", "TELEPHONE")</f>
        <v xml:space="preserve">          6309 - TELEPHONE</v>
      </c>
      <c r="C91" s="11"/>
      <c r="D91" s="7">
        <v>1561.79</v>
      </c>
      <c r="E91" s="2"/>
      <c r="F91" s="6">
        <f t="shared" si="92"/>
        <v>0</v>
      </c>
      <c r="G91" s="2"/>
      <c r="H91" s="7">
        <v>1250</v>
      </c>
      <c r="I91" s="2"/>
      <c r="J91" s="6">
        <f t="shared" si="93"/>
        <v>0</v>
      </c>
      <c r="K91" s="2"/>
      <c r="L91" s="7">
        <f t="shared" si="94"/>
        <v>311.78999999999996</v>
      </c>
      <c r="M91" s="2"/>
      <c r="N91" s="6">
        <f t="shared" si="95"/>
        <v>0.24943199999999996</v>
      </c>
      <c r="O91" s="11"/>
      <c r="P91" s="7">
        <v>17909.939999999999</v>
      </c>
      <c r="Q91" s="2"/>
      <c r="R91" s="6">
        <f t="shared" si="96"/>
        <v>0</v>
      </c>
      <c r="S91" s="2"/>
      <c r="T91" s="7">
        <v>10350</v>
      </c>
      <c r="U91" s="2"/>
      <c r="V91" s="6">
        <f t="shared" si="97"/>
        <v>0</v>
      </c>
      <c r="W91" s="2"/>
      <c r="X91" s="7">
        <f t="shared" si="98"/>
        <v>7559.9399999999987</v>
      </c>
      <c r="Y91" s="2"/>
      <c r="Z91" s="6">
        <f t="shared" si="99"/>
        <v>0.73042898550724622</v>
      </c>
    </row>
    <row r="92" spans="1:26" s="25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SUM(OSRRefD22_18x_0)</f>
        <v>399</v>
      </c>
      <c r="E92" s="1"/>
      <c r="F92" s="5">
        <f t="shared" ref="F92:F96" si="100">IF(D$12=0,0,D92/D$12)</f>
        <v>0</v>
      </c>
      <c r="G92" s="1"/>
      <c r="H92" s="1">
        <f>SUM(OSRRefH22_18x_0)</f>
        <v>1196</v>
      </c>
      <c r="I92" s="1"/>
      <c r="J92" s="5">
        <f t="shared" ref="J92:J96" si="101">IF(H$12=0,0,H92/H$12)</f>
        <v>0</v>
      </c>
      <c r="K92" s="1"/>
      <c r="L92" s="1">
        <f t="shared" ref="L92:L96" si="102">+D92-H92</f>
        <v>-797</v>
      </c>
      <c r="M92" s="1"/>
      <c r="N92" s="5">
        <f t="shared" ref="N92:N96" si="103">IF(H92=0,0,L92/H92)</f>
        <v>-0.66638795986622068</v>
      </c>
      <c r="O92" s="13"/>
      <c r="P92" s="1">
        <f>SUM(OSRRefP22_18x_0)</f>
        <v>2225.5</v>
      </c>
      <c r="Q92" s="1"/>
      <c r="R92" s="5">
        <f t="shared" ref="R92:R96" si="104">IF(P$12=0,0,P92/P$12)</f>
        <v>0</v>
      </c>
      <c r="S92" s="1"/>
      <c r="T92" s="1">
        <f>SUM(OSRRefT22_18x_0)</f>
        <v>17414</v>
      </c>
      <c r="U92" s="1"/>
      <c r="V92" s="5">
        <f t="shared" ref="V92:V96" si="105">IF(T$12=0,0,T92/T$12)</f>
        <v>0</v>
      </c>
      <c r="W92" s="1"/>
      <c r="X92" s="1">
        <f t="shared" ref="X92:X96" si="106">+P92-T92</f>
        <v>-15188.5</v>
      </c>
      <c r="Y92" s="1"/>
      <c r="Z92" s="5">
        <f t="shared" ref="Z92:Z96" si="107">IF(T92=0,0,X92/T92)</f>
        <v>-0.87220052831055472</v>
      </c>
    </row>
    <row r="93" spans="1:26" s="24" customFormat="1" hidden="1" outlineLevel="2" x14ac:dyDescent="0.25">
      <c r="A93" s="26"/>
      <c r="B93" s="11" t="str">
        <f>CONCATENATE("          ", "6376", " - ", "TRAINING")</f>
        <v xml:space="preserve">          6376 - TRAINING</v>
      </c>
      <c r="C93" s="11"/>
      <c r="D93" s="7">
        <v>399</v>
      </c>
      <c r="E93" s="2"/>
      <c r="F93" s="6">
        <f t="shared" si="100"/>
        <v>0</v>
      </c>
      <c r="G93" s="2"/>
      <c r="H93" s="7">
        <v>1196</v>
      </c>
      <c r="I93" s="2"/>
      <c r="J93" s="6">
        <f t="shared" si="101"/>
        <v>0</v>
      </c>
      <c r="K93" s="2"/>
      <c r="L93" s="7">
        <f t="shared" si="102"/>
        <v>-797</v>
      </c>
      <c r="M93" s="2"/>
      <c r="N93" s="6">
        <f t="shared" si="103"/>
        <v>-0.66638795986622068</v>
      </c>
      <c r="O93" s="11"/>
      <c r="P93" s="7">
        <v>2225.5</v>
      </c>
      <c r="Q93" s="2"/>
      <c r="R93" s="6">
        <f t="shared" si="104"/>
        <v>0</v>
      </c>
      <c r="S93" s="2"/>
      <c r="T93" s="7">
        <v>17414</v>
      </c>
      <c r="U93" s="2"/>
      <c r="V93" s="6">
        <f t="shared" si="105"/>
        <v>0</v>
      </c>
      <c r="W93" s="2"/>
      <c r="X93" s="7">
        <f t="shared" si="106"/>
        <v>-15188.5</v>
      </c>
      <c r="Y93" s="2"/>
      <c r="Z93" s="6">
        <f t="shared" si="107"/>
        <v>-0.87220052831055472</v>
      </c>
    </row>
    <row r="94" spans="1:26" s="25" customFormat="1" outlineLevel="1" collapsed="1" x14ac:dyDescent="0.25">
      <c r="A94" s="27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SUM(OSRRefD22_19x_0)</f>
        <v>7.6</v>
      </c>
      <c r="E94" s="1"/>
      <c r="F94" s="5">
        <f t="shared" si="100"/>
        <v>0</v>
      </c>
      <c r="G94" s="1"/>
      <c r="H94" s="1">
        <f>SUM(OSRRefH22_19x_0)</f>
        <v>625</v>
      </c>
      <c r="I94" s="1"/>
      <c r="J94" s="5">
        <f t="shared" si="101"/>
        <v>0</v>
      </c>
      <c r="K94" s="1"/>
      <c r="L94" s="1">
        <f t="shared" si="102"/>
        <v>-617.4</v>
      </c>
      <c r="M94" s="1"/>
      <c r="N94" s="5">
        <f t="shared" si="103"/>
        <v>-0.98783999999999994</v>
      </c>
      <c r="O94" s="13"/>
      <c r="P94" s="1">
        <f>SUM(OSRRefP22_19x_0)</f>
        <v>795.42</v>
      </c>
      <c r="Q94" s="1"/>
      <c r="R94" s="5">
        <f t="shared" si="104"/>
        <v>0</v>
      </c>
      <c r="S94" s="1"/>
      <c r="T94" s="1">
        <f>SUM(OSRRefT22_19x_0)</f>
        <v>7225</v>
      </c>
      <c r="U94" s="1"/>
      <c r="V94" s="5">
        <f t="shared" si="105"/>
        <v>0</v>
      </c>
      <c r="W94" s="1"/>
      <c r="X94" s="1">
        <f t="shared" si="106"/>
        <v>-6429.58</v>
      </c>
      <c r="Y94" s="1"/>
      <c r="Z94" s="5">
        <f t="shared" si="107"/>
        <v>-0.88990726643598617</v>
      </c>
    </row>
    <row r="95" spans="1:26" s="24" customFormat="1" hidden="1" outlineLevel="2" x14ac:dyDescent="0.25">
      <c r="A95" s="26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100"/>
        <v>0</v>
      </c>
      <c r="G95" s="2"/>
      <c r="H95" s="7">
        <v>625</v>
      </c>
      <c r="I95" s="2"/>
      <c r="J95" s="6">
        <f t="shared" si="101"/>
        <v>0</v>
      </c>
      <c r="K95" s="2"/>
      <c r="L95" s="7">
        <f t="shared" si="102"/>
        <v>-625</v>
      </c>
      <c r="M95" s="2"/>
      <c r="N95" s="6">
        <f t="shared" si="103"/>
        <v>-1</v>
      </c>
      <c r="O95" s="11"/>
      <c r="P95" s="7">
        <v>720</v>
      </c>
      <c r="Q95" s="2"/>
      <c r="R95" s="6">
        <f t="shared" si="104"/>
        <v>0</v>
      </c>
      <c r="S95" s="2"/>
      <c r="T95" s="7">
        <v>5625</v>
      </c>
      <c r="U95" s="2"/>
      <c r="V95" s="6">
        <f t="shared" si="105"/>
        <v>0</v>
      </c>
      <c r="W95" s="2"/>
      <c r="X95" s="7">
        <f t="shared" si="106"/>
        <v>-4905</v>
      </c>
      <c r="Y95" s="2"/>
      <c r="Z95" s="6">
        <f t="shared" si="107"/>
        <v>-0.872</v>
      </c>
    </row>
    <row r="96" spans="1:26" s="24" customFormat="1" hidden="1" outlineLevel="2" x14ac:dyDescent="0.25">
      <c r="A96" s="26"/>
      <c r="B96" s="11" t="str">
        <f>CONCATENATE("          ", "6294", " - ", "TRAVEL OPERATIONAL")</f>
        <v xml:space="preserve">          6294 - TRAVEL OPERATIONAL</v>
      </c>
      <c r="C96" s="11"/>
      <c r="D96" s="7">
        <v>7.6</v>
      </c>
      <c r="E96" s="2"/>
      <c r="F96" s="6">
        <f t="shared" si="100"/>
        <v>0</v>
      </c>
      <c r="G96" s="2"/>
      <c r="H96" s="7"/>
      <c r="I96" s="2"/>
      <c r="J96" s="6">
        <f t="shared" si="101"/>
        <v>0</v>
      </c>
      <c r="K96" s="2"/>
      <c r="L96" s="7">
        <f t="shared" si="102"/>
        <v>7.6</v>
      </c>
      <c r="M96" s="2"/>
      <c r="N96" s="6">
        <f t="shared" si="103"/>
        <v>0</v>
      </c>
      <c r="O96" s="11"/>
      <c r="P96" s="7">
        <v>75.42</v>
      </c>
      <c r="Q96" s="2"/>
      <c r="R96" s="6">
        <f t="shared" si="104"/>
        <v>0</v>
      </c>
      <c r="S96" s="2"/>
      <c r="T96" s="7">
        <v>1600</v>
      </c>
      <c r="U96" s="2"/>
      <c r="V96" s="6">
        <f t="shared" si="105"/>
        <v>0</v>
      </c>
      <c r="W96" s="2"/>
      <c r="X96" s="7">
        <f t="shared" si="106"/>
        <v>-1524.58</v>
      </c>
      <c r="Y96" s="2"/>
      <c r="Z96" s="6">
        <f t="shared" si="107"/>
        <v>-0.95286249999999995</v>
      </c>
    </row>
    <row r="97" spans="1:26" s="59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293</v>
      </c>
      <c r="C98" s="10"/>
      <c r="D98" s="4">
        <f>SUM(OSRRefD25x_0)</f>
        <v>0</v>
      </c>
      <c r="E98" s="4"/>
      <c r="F98" s="12">
        <f t="shared" ref="F98:F101" si="108">IF(D$12=0,0,D98/D$12)</f>
        <v>0</v>
      </c>
      <c r="G98" s="4"/>
      <c r="H98" s="4">
        <f>SUM(OSRRefH25x_0)</f>
        <v>0</v>
      </c>
      <c r="I98" s="4"/>
      <c r="J98" s="12">
        <f t="shared" ref="J98:J101" si="109">IF(H$12=0,0,H98/H$12)</f>
        <v>0</v>
      </c>
      <c r="K98" s="4"/>
      <c r="L98" s="4">
        <f t="shared" ref="L98:L101" si="110">+D98-H98</f>
        <v>0</v>
      </c>
      <c r="M98" s="4"/>
      <c r="N98" s="12">
        <f t="shared" ref="N98:N101" si="111">IF(H98=0,0,L98/H98)</f>
        <v>0</v>
      </c>
      <c r="O98" s="10"/>
      <c r="P98" s="4">
        <f>SUM(OSRRefP25x_0)</f>
        <v>0</v>
      </c>
      <c r="Q98" s="4"/>
      <c r="R98" s="12">
        <f t="shared" ref="R98:R101" si="112">IF(P$12=0,0,P98/P$12)</f>
        <v>0</v>
      </c>
      <c r="S98" s="4"/>
      <c r="T98" s="4">
        <f>SUM(OSRRefT25x_0)</f>
        <v>0</v>
      </c>
      <c r="U98" s="4"/>
      <c r="V98" s="12">
        <f t="shared" ref="V98:V101" si="113">IF(T$12=0,0,T98/T$12)</f>
        <v>0</v>
      </c>
      <c r="W98" s="4"/>
      <c r="X98" s="4">
        <f t="shared" ref="X98:X101" si="114">+P98-T98</f>
        <v>0</v>
      </c>
      <c r="Y98" s="4"/>
      <c r="Z98" s="12">
        <f t="shared" ref="Z98:Z101" si="115">IF(T98=0,0,X98/T98)</f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 t="shared" ref="D99:D101" si="116">0</f>
        <v>0</v>
      </c>
      <c r="E99" s="2"/>
      <c r="F99" s="19">
        <f t="shared" si="108"/>
        <v>0</v>
      </c>
      <c r="G99" s="2"/>
      <c r="H99" s="2"/>
      <c r="I99" s="2"/>
      <c r="J99" s="19">
        <f t="shared" si="109"/>
        <v>0</v>
      </c>
      <c r="K99" s="2"/>
      <c r="L99" s="2">
        <f t="shared" si="110"/>
        <v>0</v>
      </c>
      <c r="M99" s="2"/>
      <c r="N99" s="19">
        <f t="shared" si="111"/>
        <v>0</v>
      </c>
      <c r="O99" s="11"/>
      <c r="P99" s="2">
        <f t="shared" ref="P99:P101" si="117">0</f>
        <v>0</v>
      </c>
      <c r="Q99" s="2"/>
      <c r="R99" s="19">
        <f t="shared" si="112"/>
        <v>0</v>
      </c>
      <c r="S99" s="2"/>
      <c r="T99" s="2">
        <v>0</v>
      </c>
      <c r="U99" s="2"/>
      <c r="V99" s="19">
        <f t="shared" si="113"/>
        <v>0</v>
      </c>
      <c r="W99" s="2"/>
      <c r="X99" s="2">
        <f t="shared" si="114"/>
        <v>0</v>
      </c>
      <c r="Y99" s="2"/>
      <c r="Z99" s="19">
        <f t="shared" si="115"/>
        <v>0</v>
      </c>
    </row>
    <row r="100" spans="1:26" s="24" customFormat="1" hidden="1" outlineLevel="1" x14ac:dyDescent="0.25">
      <c r="A100" s="44"/>
      <c r="B100" s="11" t="str">
        <f>CONCATENATE("          ", "9151", " - ", "MISC. INCOME")</f>
        <v xml:space="preserve">          9151 - MISC. INCOME</v>
      </c>
      <c r="C100" s="11"/>
      <c r="D100" s="2">
        <f t="shared" si="116"/>
        <v>0</v>
      </c>
      <c r="E100" s="2"/>
      <c r="F100" s="19">
        <f t="shared" si="108"/>
        <v>0</v>
      </c>
      <c r="G100" s="2"/>
      <c r="H100" s="2"/>
      <c r="I100" s="2"/>
      <c r="J100" s="19">
        <f t="shared" si="109"/>
        <v>0</v>
      </c>
      <c r="K100" s="2"/>
      <c r="L100" s="2">
        <f t="shared" si="110"/>
        <v>0</v>
      </c>
      <c r="M100" s="2"/>
      <c r="N100" s="19">
        <f t="shared" si="111"/>
        <v>0</v>
      </c>
      <c r="O100" s="11"/>
      <c r="P100" s="2">
        <f t="shared" si="117"/>
        <v>0</v>
      </c>
      <c r="Q100" s="2"/>
      <c r="R100" s="19">
        <f t="shared" si="112"/>
        <v>0</v>
      </c>
      <c r="S100" s="2"/>
      <c r="T100" s="2">
        <v>0</v>
      </c>
      <c r="U100" s="2"/>
      <c r="V100" s="19">
        <f t="shared" si="113"/>
        <v>0</v>
      </c>
      <c r="W100" s="2"/>
      <c r="X100" s="2">
        <f t="shared" si="114"/>
        <v>0</v>
      </c>
      <c r="Y100" s="2"/>
      <c r="Z100" s="19">
        <f t="shared" si="115"/>
        <v>0</v>
      </c>
    </row>
    <row r="101" spans="1:26" s="24" customFormat="1" hidden="1" outlineLevel="1" x14ac:dyDescent="0.25">
      <c r="A101" s="44"/>
      <c r="B101" s="11" t="str">
        <f>CONCATENATE("          ", "9160", " - ", "MISC. INCOME")</f>
        <v xml:space="preserve">          9160 - MISC. INCOME</v>
      </c>
      <c r="C101" s="11"/>
      <c r="D101" s="2">
        <f t="shared" si="116"/>
        <v>0</v>
      </c>
      <c r="E101" s="2"/>
      <c r="F101" s="19">
        <f t="shared" si="108"/>
        <v>0</v>
      </c>
      <c r="G101" s="2"/>
      <c r="H101" s="2"/>
      <c r="I101" s="2"/>
      <c r="J101" s="19">
        <f t="shared" si="109"/>
        <v>0</v>
      </c>
      <c r="K101" s="2"/>
      <c r="L101" s="2">
        <f t="shared" si="110"/>
        <v>0</v>
      </c>
      <c r="M101" s="2"/>
      <c r="N101" s="19">
        <f t="shared" si="111"/>
        <v>0</v>
      </c>
      <c r="O101" s="11"/>
      <c r="P101" s="2">
        <f t="shared" si="117"/>
        <v>0</v>
      </c>
      <c r="Q101" s="2"/>
      <c r="R101" s="19">
        <f t="shared" si="112"/>
        <v>0</v>
      </c>
      <c r="S101" s="2"/>
      <c r="T101" s="2">
        <v>0</v>
      </c>
      <c r="U101" s="2"/>
      <c r="V101" s="19">
        <f t="shared" si="113"/>
        <v>0</v>
      </c>
      <c r="W101" s="2"/>
      <c r="X101" s="2">
        <f t="shared" si="114"/>
        <v>0</v>
      </c>
      <c r="Y101" s="2"/>
      <c r="Z101" s="19">
        <f t="shared" si="115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277</v>
      </c>
      <c r="C103" s="29"/>
      <c r="D103" s="20">
        <f>+D17-D19+D98</f>
        <v>-225320.12000000008</v>
      </c>
      <c r="E103" s="14"/>
      <c r="F103" s="21">
        <f>IF(D$12=0,0,D103/D$12)</f>
        <v>0</v>
      </c>
      <c r="G103" s="14"/>
      <c r="H103" s="20">
        <f>+H17-H19+H98</f>
        <v>-271222.33134153846</v>
      </c>
      <c r="I103" s="14"/>
      <c r="J103" s="21">
        <f>IF(H$12=0,0,H103/H$12)</f>
        <v>0</v>
      </c>
      <c r="K103" s="16"/>
      <c r="L103" s="20">
        <f>+D103-H103</f>
        <v>45902.211341538379</v>
      </c>
      <c r="M103" s="16"/>
      <c r="N103" s="21">
        <f>IF(H103=0,0,L103/H103)</f>
        <v>-0.16924200568033509</v>
      </c>
      <c r="O103" s="28"/>
      <c r="P103" s="20">
        <f>+P17-P19+P98</f>
        <v>-1641550.3499999999</v>
      </c>
      <c r="Q103" s="14"/>
      <c r="R103" s="21">
        <f>IF(P$12=0,0,P103/P$12)</f>
        <v>0</v>
      </c>
      <c r="S103" s="14"/>
      <c r="T103" s="20">
        <f>+T17-T19+T98</f>
        <v>-2434044.1199869229</v>
      </c>
      <c r="U103" s="14"/>
      <c r="V103" s="21">
        <f>IF(T$12=0,0,T103/T$12)</f>
        <v>0</v>
      </c>
      <c r="W103" s="16"/>
      <c r="X103" s="20">
        <f>+P103-T103</f>
        <v>792493.76998692309</v>
      </c>
      <c r="Y103" s="16"/>
      <c r="Z103" s="21">
        <f>IF(T103=0,0,X103/T103)</f>
        <v>-0.3255872658508675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126</v>
      </c>
      <c r="C107" s="29"/>
      <c r="D107" s="34">
        <f>+D103-D105</f>
        <v>-225320.12000000008</v>
      </c>
      <c r="E107" s="14"/>
      <c r="F107" s="30">
        <f>IF(D$12=0,0,D107/D$12)</f>
        <v>0</v>
      </c>
      <c r="G107" s="14"/>
      <c r="H107" s="34">
        <f>+H103-H105</f>
        <v>-271222.33134153846</v>
      </c>
      <c r="I107" s="14"/>
      <c r="J107" s="30">
        <f>IF(H$12=0,0,H107/H$12)</f>
        <v>0</v>
      </c>
      <c r="K107" s="16"/>
      <c r="L107" s="34">
        <f>D107-H107</f>
        <v>45902.211341538379</v>
      </c>
      <c r="M107" s="16"/>
      <c r="N107" s="30">
        <f>IF(H107=0,0,L107/H107)</f>
        <v>-0.16924200568033509</v>
      </c>
      <c r="O107" s="28"/>
      <c r="P107" s="34">
        <f>+P103-P105</f>
        <v>-1641550.3499999999</v>
      </c>
      <c r="Q107" s="14"/>
      <c r="R107" s="30">
        <f>IF(P$12=0,0,P107/P$12)</f>
        <v>0</v>
      </c>
      <c r="S107" s="14"/>
      <c r="T107" s="34">
        <f>+T103-T105</f>
        <v>-2434044.1199869229</v>
      </c>
      <c r="U107" s="14"/>
      <c r="V107" s="30">
        <f>IF(T$12=0,0,T107/T$12)</f>
        <v>0</v>
      </c>
      <c r="W107" s="16"/>
      <c r="X107" s="34">
        <f>P107-T107</f>
        <v>792493.76998692309</v>
      </c>
      <c r="Y107" s="16"/>
      <c r="Z107" s="30">
        <f>IF(T107=0,0,X107/T107)</f>
        <v>-0.3255872658508675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294</v>
      </c>
      <c r="C110" s="29"/>
      <c r="D110" s="31">
        <f>SUM(D107:D109)</f>
        <v>-225320.12000000008</v>
      </c>
      <c r="E110" s="14"/>
      <c r="F110" s="35">
        <f>IF(D$12=0,0,D110/D$12)</f>
        <v>0</v>
      </c>
      <c r="G110" s="14"/>
      <c r="H110" s="31">
        <f>SUM(H107:H109)</f>
        <v>-271222.33134153846</v>
      </c>
      <c r="I110" s="14"/>
      <c r="J110" s="35">
        <f>IF(H$12=0,0,H110/H$12)</f>
        <v>0</v>
      </c>
      <c r="K110" s="16"/>
      <c r="L110" s="31">
        <f>+D110-H110</f>
        <v>45902.211341538379</v>
      </c>
      <c r="M110" s="16"/>
      <c r="N110" s="35">
        <f>IF(H110=0,0,L110/H110)</f>
        <v>-0.16924200568033509</v>
      </c>
      <c r="O110" s="28"/>
      <c r="P110" s="31">
        <f>SUM(P107:P109)</f>
        <v>-1641550.3499999999</v>
      </c>
      <c r="Q110" s="14"/>
      <c r="R110" s="35">
        <f>IF(P$12=0,0,P110/P$12)</f>
        <v>0</v>
      </c>
      <c r="S110" s="14"/>
      <c r="T110" s="31">
        <f>SUM(T107:T109)</f>
        <v>-2434044.1199869229</v>
      </c>
      <c r="U110" s="14"/>
      <c r="V110" s="35">
        <f>IF(T$12=0,0,T110/T$12)</f>
        <v>0</v>
      </c>
      <c r="W110" s="16"/>
      <c r="X110" s="31">
        <f>+P110-T110</f>
        <v>792493.76998692309</v>
      </c>
      <c r="Y110" s="16"/>
      <c r="Z110" s="35">
        <f>IF(T110=0,0,X110/T110)</f>
        <v>-0.3255872658508675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6">
        <v>44295.96176539352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3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4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28743.11</v>
      </c>
      <c r="E18" s="22"/>
      <c r="F18" s="32">
        <f t="shared" ref="F18:F29" si="0">IF(D$12=0,0,D18/D$12)</f>
        <v>0</v>
      </c>
      <c r="G18" s="22"/>
      <c r="H18" s="22">
        <f>SUM(OSRRefH22x_0)</f>
        <v>61437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-32693.89</v>
      </c>
      <c r="M18" s="4"/>
      <c r="N18" s="32">
        <f t="shared" ref="N18:N29" si="3">IF(H18=0,0,L18/H18)</f>
        <v>-0.53215309992349891</v>
      </c>
      <c r="O18" s="10"/>
      <c r="P18" s="22">
        <f>SUM(OSRRefP22x_0)</f>
        <v>-82077.27</v>
      </c>
      <c r="Q18" s="22"/>
      <c r="R18" s="32">
        <f t="shared" ref="R18:R29" si="4">IF(P$12=0,0,P18/P$12)</f>
        <v>0</v>
      </c>
      <c r="S18" s="22"/>
      <c r="T18" s="22">
        <f>SUM(OSRRefT22x_0)</f>
        <v>454333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-536410.27</v>
      </c>
      <c r="Y18" s="4"/>
      <c r="Z18" s="32">
        <f t="shared" ref="Z18:Z29" si="7">IF(T18=0,0,X18/T18)</f>
        <v>-1.1806544318814614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28050.7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-3949.2999999999993</v>
      </c>
      <c r="M19" s="1"/>
      <c r="N19" s="5">
        <f t="shared" si="3"/>
        <v>-0.12341562499999997</v>
      </c>
      <c r="O19" s="13"/>
      <c r="P19" s="1">
        <f>SUM(OSRRefP22_0x_0)</f>
        <v>-133017.22</v>
      </c>
      <c r="Q19" s="1"/>
      <c r="R19" s="5">
        <f t="shared" si="4"/>
        <v>0</v>
      </c>
      <c r="S19" s="1"/>
      <c r="T19" s="1">
        <f>SUM(OSRRefT22_0x_0)</f>
        <v>288000</v>
      </c>
      <c r="U19" s="1"/>
      <c r="V19" s="5">
        <f t="shared" si="5"/>
        <v>0</v>
      </c>
      <c r="W19" s="1"/>
      <c r="X19" s="1">
        <f t="shared" si="6"/>
        <v>-421017.22</v>
      </c>
      <c r="Y19" s="1"/>
      <c r="Z19" s="5">
        <f t="shared" si="7"/>
        <v>-1.4618653472222221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7">
        <v>28050.7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-3949.2999999999993</v>
      </c>
      <c r="M20" s="2"/>
      <c r="N20" s="6">
        <f t="shared" si="3"/>
        <v>-0.12341562499999997</v>
      </c>
      <c r="O20" s="11"/>
      <c r="P20" s="7">
        <v>-133017.22</v>
      </c>
      <c r="Q20" s="2"/>
      <c r="R20" s="6">
        <f t="shared" si="4"/>
        <v>0</v>
      </c>
      <c r="S20" s="2"/>
      <c r="T20" s="7">
        <v>288000</v>
      </c>
      <c r="U20" s="2"/>
      <c r="V20" s="6">
        <f t="shared" si="5"/>
        <v>0</v>
      </c>
      <c r="W20" s="2"/>
      <c r="X20" s="7">
        <f t="shared" si="6"/>
        <v>-421017.22</v>
      </c>
      <c r="Y20" s="2"/>
      <c r="Z20" s="6">
        <f t="shared" si="7"/>
        <v>-1.4618653472222221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-1993</v>
      </c>
      <c r="M21" s="1"/>
      <c r="N21" s="5">
        <f t="shared" si="3"/>
        <v>-0.99650000000000005</v>
      </c>
      <c r="O21" s="13"/>
      <c r="P21" s="1">
        <f>SUM(OSRRefP22_1x_0)</f>
        <v>5125.54</v>
      </c>
      <c r="Q21" s="1"/>
      <c r="R21" s="5">
        <f t="shared" si="4"/>
        <v>0</v>
      </c>
      <c r="S21" s="1"/>
      <c r="T21" s="1">
        <f>SUM(OSRRefT22_1x_0)</f>
        <v>54000</v>
      </c>
      <c r="U21" s="1"/>
      <c r="V21" s="5">
        <f t="shared" si="5"/>
        <v>0</v>
      </c>
      <c r="W21" s="1"/>
      <c r="X21" s="1">
        <f t="shared" si="6"/>
        <v>-48874.46</v>
      </c>
      <c r="Y21" s="1"/>
      <c r="Z21" s="5">
        <f t="shared" si="7"/>
        <v>-0.90508259259259261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2000</v>
      </c>
      <c r="I22" s="2"/>
      <c r="J22" s="6">
        <f t="shared" si="1"/>
        <v>0</v>
      </c>
      <c r="K22" s="2"/>
      <c r="L22" s="7">
        <f t="shared" si="2"/>
        <v>-1993</v>
      </c>
      <c r="M22" s="2"/>
      <c r="N22" s="6">
        <f t="shared" si="3"/>
        <v>-0.99650000000000005</v>
      </c>
      <c r="O22" s="11"/>
      <c r="P22" s="7">
        <v>5125.54</v>
      </c>
      <c r="Q22" s="2"/>
      <c r="R22" s="6">
        <f t="shared" si="4"/>
        <v>0</v>
      </c>
      <c r="S22" s="2"/>
      <c r="T22" s="7">
        <v>54000</v>
      </c>
      <c r="U22" s="2"/>
      <c r="V22" s="6">
        <f t="shared" si="5"/>
        <v>0</v>
      </c>
      <c r="W22" s="2"/>
      <c r="X22" s="7">
        <f t="shared" si="6"/>
        <v>-48874.46</v>
      </c>
      <c r="Y22" s="2"/>
      <c r="Z22" s="6">
        <f t="shared" si="7"/>
        <v>-0.90508259259259261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685.41</v>
      </c>
      <c r="E23" s="1"/>
      <c r="F23" s="5">
        <f t="shared" si="0"/>
        <v>0</v>
      </c>
      <c r="G23" s="1"/>
      <c r="H23" s="1">
        <f>SUM(OSRRefH22_2x_0)</f>
        <v>17437</v>
      </c>
      <c r="I23" s="1"/>
      <c r="J23" s="5">
        <f t="shared" si="1"/>
        <v>0</v>
      </c>
      <c r="K23" s="1"/>
      <c r="L23" s="1">
        <f t="shared" si="2"/>
        <v>-16751.59</v>
      </c>
      <c r="M23" s="1"/>
      <c r="N23" s="5">
        <f t="shared" si="3"/>
        <v>-0.96069220622813556</v>
      </c>
      <c r="O23" s="13"/>
      <c r="P23" s="1">
        <f>SUM(OSRRefP22_2x_0)</f>
        <v>10832.16</v>
      </c>
      <c r="Q23" s="1"/>
      <c r="R23" s="5">
        <f t="shared" si="4"/>
        <v>0</v>
      </c>
      <c r="S23" s="1"/>
      <c r="T23" s="1">
        <f>SUM(OSRRefT22_2x_0)</f>
        <v>38833</v>
      </c>
      <c r="U23" s="1"/>
      <c r="V23" s="5">
        <f t="shared" si="5"/>
        <v>0</v>
      </c>
      <c r="W23" s="1"/>
      <c r="X23" s="1">
        <f t="shared" si="6"/>
        <v>-28000.84</v>
      </c>
      <c r="Y23" s="1"/>
      <c r="Z23" s="5">
        <f t="shared" si="7"/>
        <v>-0.72105786315762366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7">
        <v>685.41</v>
      </c>
      <c r="E24" s="2"/>
      <c r="F24" s="6">
        <f t="shared" si="0"/>
        <v>0</v>
      </c>
      <c r="G24" s="2"/>
      <c r="H24" s="7">
        <v>17437</v>
      </c>
      <c r="I24" s="2"/>
      <c r="J24" s="6">
        <f t="shared" si="1"/>
        <v>0</v>
      </c>
      <c r="K24" s="2"/>
      <c r="L24" s="7">
        <f t="shared" si="2"/>
        <v>-16751.59</v>
      </c>
      <c r="M24" s="2"/>
      <c r="N24" s="6">
        <f t="shared" si="3"/>
        <v>-0.96069220622813556</v>
      </c>
      <c r="O24" s="11"/>
      <c r="P24" s="7">
        <v>10832.16</v>
      </c>
      <c r="Q24" s="2"/>
      <c r="R24" s="6">
        <f t="shared" si="4"/>
        <v>0</v>
      </c>
      <c r="S24" s="2"/>
      <c r="T24" s="7">
        <v>38833</v>
      </c>
      <c r="U24" s="2"/>
      <c r="V24" s="6">
        <f t="shared" si="5"/>
        <v>0</v>
      </c>
      <c r="W24" s="2"/>
      <c r="X24" s="7">
        <f t="shared" si="6"/>
        <v>-28000.84</v>
      </c>
      <c r="Y24" s="2"/>
      <c r="Z24" s="6">
        <f t="shared" si="7"/>
        <v>-0.72105786315762366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5000</v>
      </c>
      <c r="U25" s="1"/>
      <c r="V25" s="5">
        <f t="shared" si="5"/>
        <v>0</v>
      </c>
      <c r="W25" s="1"/>
      <c r="X25" s="1">
        <f t="shared" si="6"/>
        <v>-5000</v>
      </c>
      <c r="Y25" s="1"/>
      <c r="Z25" s="5">
        <f t="shared" si="7"/>
        <v>-1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5000</v>
      </c>
      <c r="U26" s="2"/>
      <c r="V26" s="6">
        <f t="shared" si="5"/>
        <v>0</v>
      </c>
      <c r="W26" s="2"/>
      <c r="X26" s="7">
        <f t="shared" si="6"/>
        <v>-5000</v>
      </c>
      <c r="Y26" s="2"/>
      <c r="Z26" s="6">
        <f t="shared" si="7"/>
        <v>-1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10000</v>
      </c>
      <c r="I27" s="1"/>
      <c r="J27" s="5">
        <f t="shared" si="1"/>
        <v>0</v>
      </c>
      <c r="K27" s="1"/>
      <c r="L27" s="1">
        <f t="shared" si="2"/>
        <v>-10000</v>
      </c>
      <c r="M27" s="1"/>
      <c r="N27" s="5">
        <f t="shared" si="3"/>
        <v>-1</v>
      </c>
      <c r="O27" s="13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68500</v>
      </c>
      <c r="U27" s="1"/>
      <c r="V27" s="5">
        <f t="shared" si="5"/>
        <v>0</v>
      </c>
      <c r="W27" s="1"/>
      <c r="X27" s="1">
        <f t="shared" si="6"/>
        <v>-33517.75</v>
      </c>
      <c r="Y27" s="1"/>
      <c r="Z27" s="5">
        <f t="shared" si="7"/>
        <v>-0.48931021897810217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34982.25</v>
      </c>
      <c r="Q28" s="2"/>
      <c r="R28" s="6">
        <f t="shared" si="4"/>
        <v>0</v>
      </c>
      <c r="S28" s="2"/>
      <c r="T28" s="7">
        <v>40500</v>
      </c>
      <c r="U28" s="2"/>
      <c r="V28" s="6">
        <f t="shared" si="5"/>
        <v>0</v>
      </c>
      <c r="W28" s="2"/>
      <c r="X28" s="7">
        <f t="shared" si="6"/>
        <v>-5517.75</v>
      </c>
      <c r="Y28" s="2"/>
      <c r="Z28" s="6">
        <f t="shared" si="7"/>
        <v>-0.13624074074074075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10000</v>
      </c>
      <c r="I29" s="2"/>
      <c r="J29" s="6">
        <f t="shared" si="1"/>
        <v>0</v>
      </c>
      <c r="K29" s="2"/>
      <c r="L29" s="7">
        <f t="shared" si="2"/>
        <v>-10000</v>
      </c>
      <c r="M29" s="2"/>
      <c r="N29" s="6">
        <f t="shared" si="3"/>
        <v>-1</v>
      </c>
      <c r="O29" s="11"/>
      <c r="P29" s="7"/>
      <c r="Q29" s="2"/>
      <c r="R29" s="6">
        <f t="shared" si="4"/>
        <v>0</v>
      </c>
      <c r="S29" s="2"/>
      <c r="T29" s="7">
        <v>28000</v>
      </c>
      <c r="U29" s="2"/>
      <c r="V29" s="6">
        <f t="shared" si="5"/>
        <v>0</v>
      </c>
      <c r="W29" s="2"/>
      <c r="X29" s="7">
        <f t="shared" si="6"/>
        <v>-28000</v>
      </c>
      <c r="Y29" s="2"/>
      <c r="Z29" s="6">
        <f t="shared" si="7"/>
        <v>-1</v>
      </c>
    </row>
    <row r="30" spans="1:26" s="59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293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277</v>
      </c>
      <c r="C33" s="29"/>
      <c r="D33" s="20">
        <f>+D16-D18+D31</f>
        <v>-28743.11</v>
      </c>
      <c r="E33" s="14"/>
      <c r="F33" s="21">
        <f>IF(D$12=0,0,D33/D$12)</f>
        <v>0</v>
      </c>
      <c r="G33" s="14"/>
      <c r="H33" s="20">
        <f>+H16-H18+H31</f>
        <v>-61437</v>
      </c>
      <c r="I33" s="14"/>
      <c r="J33" s="21">
        <f>IF(H$12=0,0,H33/H$12)</f>
        <v>0</v>
      </c>
      <c r="K33" s="16"/>
      <c r="L33" s="20">
        <f>+D33-H33</f>
        <v>32693.89</v>
      </c>
      <c r="M33" s="16"/>
      <c r="N33" s="21">
        <f>IF(H33=0,0,L33/H33)</f>
        <v>-0.53215309992349891</v>
      </c>
      <c r="O33" s="28"/>
      <c r="P33" s="20">
        <f>+P16-P18+P31</f>
        <v>82077.27</v>
      </c>
      <c r="Q33" s="14"/>
      <c r="R33" s="21">
        <f>IF(P$12=0,0,P33/P$12)</f>
        <v>0</v>
      </c>
      <c r="S33" s="14"/>
      <c r="T33" s="20">
        <f>+T16-T18+T31</f>
        <v>-454333</v>
      </c>
      <c r="U33" s="14"/>
      <c r="V33" s="21">
        <f>IF(T$12=0,0,T33/T$12)</f>
        <v>0</v>
      </c>
      <c r="W33" s="16"/>
      <c r="X33" s="20">
        <f>+P33-T33</f>
        <v>536410.27</v>
      </c>
      <c r="Y33" s="16"/>
      <c r="Z33" s="21">
        <f>IF(T33=0,0,X33/T33)</f>
        <v>-1.1806544318814614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128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126</v>
      </c>
      <c r="C37" s="29"/>
      <c r="D37" s="34">
        <f>+D33-D35</f>
        <v>-28743.11</v>
      </c>
      <c r="E37" s="14"/>
      <c r="F37" s="30">
        <f>IF(D$12=0,0,D37/D$12)</f>
        <v>0</v>
      </c>
      <c r="G37" s="14"/>
      <c r="H37" s="34">
        <f>+H33-H35</f>
        <v>-61437</v>
      </c>
      <c r="I37" s="14"/>
      <c r="J37" s="30">
        <f>IF(H$12=0,0,H37/H$12)</f>
        <v>0</v>
      </c>
      <c r="K37" s="16"/>
      <c r="L37" s="34">
        <f>D37-H37</f>
        <v>32693.89</v>
      </c>
      <c r="M37" s="16"/>
      <c r="N37" s="30">
        <f>IF(H37=0,0,L37/H37)</f>
        <v>-0.53215309992349891</v>
      </c>
      <c r="O37" s="28"/>
      <c r="P37" s="34">
        <f>+P33-P35</f>
        <v>82077.27</v>
      </c>
      <c r="Q37" s="14"/>
      <c r="R37" s="30">
        <f>IF(P$12=0,0,P37/P$12)</f>
        <v>0</v>
      </c>
      <c r="S37" s="14"/>
      <c r="T37" s="34">
        <f>+T33-T35</f>
        <v>-454333</v>
      </c>
      <c r="U37" s="14"/>
      <c r="V37" s="30">
        <f>IF(T$12=0,0,T37/T$12)</f>
        <v>0</v>
      </c>
      <c r="W37" s="16"/>
      <c r="X37" s="34">
        <f>P37-T37</f>
        <v>536410.27</v>
      </c>
      <c r="Y37" s="16"/>
      <c r="Z37" s="30">
        <f>IF(T37=0,0,X37/T37)</f>
        <v>-1.1806544318814614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294</v>
      </c>
      <c r="C40" s="29"/>
      <c r="D40" s="31">
        <f>SUM(D37:D39)</f>
        <v>-28743.11</v>
      </c>
      <c r="E40" s="14"/>
      <c r="F40" s="35">
        <f>IF(D$12=0,0,D40/D$12)</f>
        <v>0</v>
      </c>
      <c r="G40" s="14"/>
      <c r="H40" s="31">
        <f>SUM(H37:H39)</f>
        <v>-61437</v>
      </c>
      <c r="I40" s="14"/>
      <c r="J40" s="35">
        <f>IF(H$12=0,0,H40/H$12)</f>
        <v>0</v>
      </c>
      <c r="K40" s="16"/>
      <c r="L40" s="31">
        <f>+D40-H40</f>
        <v>32693.89</v>
      </c>
      <c r="M40" s="16"/>
      <c r="N40" s="35">
        <f>IF(H40=0,0,L40/H40)</f>
        <v>-0.53215309992349891</v>
      </c>
      <c r="O40" s="28"/>
      <c r="P40" s="31">
        <f>SUM(P37:P39)</f>
        <v>82077.27</v>
      </c>
      <c r="Q40" s="14"/>
      <c r="R40" s="35">
        <f>IF(P$12=0,0,P40/P$12)</f>
        <v>0</v>
      </c>
      <c r="S40" s="14"/>
      <c r="T40" s="31">
        <f>SUM(T37:T39)</f>
        <v>-454333</v>
      </c>
      <c r="U40" s="14"/>
      <c r="V40" s="35">
        <f>IF(T$12=0,0,T40/T$12)</f>
        <v>0</v>
      </c>
      <c r="W40" s="16"/>
      <c r="X40" s="31">
        <f>+P40-T40</f>
        <v>536410.27</v>
      </c>
      <c r="Y40" s="16"/>
      <c r="Z40" s="35">
        <f>IF(T40=0,0,X40/T40)</f>
        <v>-1.1806544318814614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6">
        <v>44295.961797766206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3" t="s">
        <v>56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4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8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33993.58</v>
      </c>
      <c r="E19" s="22"/>
      <c r="F19" s="32">
        <f t="shared" ref="F19:F29" si="4">IF(D$12=0,0,D19/D$12)</f>
        <v>0</v>
      </c>
      <c r="G19" s="22"/>
      <c r="H19" s="22">
        <f>SUM(OSRRefH22x_0)</f>
        <v>33668.75790769227</v>
      </c>
      <c r="I19" s="22"/>
      <c r="J19" s="32">
        <f t="shared" ref="J19:J29" si="5">IF(H$12=0,0,H19/H$12)</f>
        <v>0</v>
      </c>
      <c r="K19" s="4"/>
      <c r="L19" s="22">
        <f t="shared" ref="L19:L29" si="6">+D19-H19</f>
        <v>324.82209230773151</v>
      </c>
      <c r="M19" s="4"/>
      <c r="N19" s="32">
        <f t="shared" ref="N19:N29" si="7">IF(H19=0,0,L19/H19)</f>
        <v>9.6475816897753659E-3</v>
      </c>
      <c r="O19" s="10"/>
      <c r="P19" s="22">
        <f>SUM(OSRRefP22x_0)</f>
        <v>333115.45999999996</v>
      </c>
      <c r="Q19" s="22"/>
      <c r="R19" s="32">
        <f t="shared" ref="R19:R29" si="8">IF(P$12=0,0,P19/P$12)</f>
        <v>0</v>
      </c>
      <c r="S19" s="22"/>
      <c r="T19" s="22">
        <f>SUM(OSRRefT22x_0)</f>
        <v>412067.66839999997</v>
      </c>
      <c r="U19" s="22"/>
      <c r="V19" s="32">
        <f t="shared" ref="V19:V29" si="9">IF(T$12=0,0,T19/T$12)</f>
        <v>0</v>
      </c>
      <c r="W19" s="4"/>
      <c r="X19" s="22">
        <f t="shared" ref="X19:X29" si="10">+P19-T19</f>
        <v>-78952.208400000003</v>
      </c>
      <c r="Y19" s="4"/>
      <c r="Z19" s="32">
        <f t="shared" ref="Z19:Z29" si="11">IF(T19=0,0,X19/T19)</f>
        <v>-0.19160010467834124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10085.009999999998</v>
      </c>
      <c r="E20" s="1"/>
      <c r="F20" s="5">
        <f t="shared" si="4"/>
        <v>0</v>
      </c>
      <c r="G20" s="1"/>
      <c r="H20" s="1">
        <f>SUM(OSRRefH22_0x_0)</f>
        <v>8675.0656000000054</v>
      </c>
      <c r="I20" s="1"/>
      <c r="J20" s="5">
        <f t="shared" si="5"/>
        <v>0</v>
      </c>
      <c r="K20" s="1"/>
      <c r="L20" s="1">
        <f t="shared" si="6"/>
        <v>1409.944399999993</v>
      </c>
      <c r="M20" s="1"/>
      <c r="N20" s="5">
        <f t="shared" si="7"/>
        <v>0.16252838479976361</v>
      </c>
      <c r="O20" s="13"/>
      <c r="P20" s="1">
        <f>SUM(OSRRefP22_0x_0)</f>
        <v>96335.540000000008</v>
      </c>
      <c r="Q20" s="1"/>
      <c r="R20" s="5">
        <f t="shared" si="8"/>
        <v>0</v>
      </c>
      <c r="S20" s="1"/>
      <c r="T20" s="1">
        <f>SUM(OSRRefT22_0x_0)</f>
        <v>80253.66839999998</v>
      </c>
      <c r="U20" s="1"/>
      <c r="V20" s="5">
        <f t="shared" si="9"/>
        <v>0</v>
      </c>
      <c r="W20" s="1"/>
      <c r="X20" s="1">
        <f t="shared" si="10"/>
        <v>16081.871600000028</v>
      </c>
      <c r="Y20" s="1"/>
      <c r="Z20" s="5">
        <f t="shared" si="11"/>
        <v>0.20038799372814753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1454.4</v>
      </c>
      <c r="E21" s="2"/>
      <c r="F21" s="6">
        <f t="shared" si="4"/>
        <v>0</v>
      </c>
      <c r="G21" s="2"/>
      <c r="H21" s="7">
        <v>1522.1228307692299</v>
      </c>
      <c r="I21" s="2"/>
      <c r="J21" s="6">
        <f t="shared" si="5"/>
        <v>0</v>
      </c>
      <c r="K21" s="2"/>
      <c r="L21" s="7">
        <f t="shared" si="6"/>
        <v>-67.722830769229859</v>
      </c>
      <c r="M21" s="2"/>
      <c r="N21" s="6">
        <f t="shared" si="7"/>
        <v>-4.4492355938846935E-2</v>
      </c>
      <c r="O21" s="11"/>
      <c r="P21" s="7">
        <v>11196.91</v>
      </c>
      <c r="Q21" s="2"/>
      <c r="R21" s="6">
        <f t="shared" si="8"/>
        <v>0</v>
      </c>
      <c r="S21" s="2"/>
      <c r="T21" s="7">
        <v>14562.1284</v>
      </c>
      <c r="U21" s="2"/>
      <c r="V21" s="6">
        <f t="shared" si="9"/>
        <v>0</v>
      </c>
      <c r="W21" s="2"/>
      <c r="X21" s="7">
        <f t="shared" si="10"/>
        <v>-3365.2183999999997</v>
      </c>
      <c r="Y21" s="2"/>
      <c r="Z21" s="6">
        <f t="shared" si="11"/>
        <v>-0.23109385575806349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62.74</v>
      </c>
      <c r="E22" s="2"/>
      <c r="F22" s="6">
        <f t="shared" si="4"/>
        <v>0</v>
      </c>
      <c r="G22" s="2"/>
      <c r="H22" s="7">
        <v>61.938461538461603</v>
      </c>
      <c r="I22" s="2"/>
      <c r="J22" s="6">
        <f t="shared" si="5"/>
        <v>0</v>
      </c>
      <c r="K22" s="2"/>
      <c r="L22" s="7">
        <f t="shared" si="6"/>
        <v>0.80153846153839936</v>
      </c>
      <c r="M22" s="2"/>
      <c r="N22" s="6">
        <f t="shared" si="7"/>
        <v>1.2940884252358644E-2</v>
      </c>
      <c r="O22" s="11"/>
      <c r="P22" s="7">
        <v>694.07</v>
      </c>
      <c r="Q22" s="2"/>
      <c r="R22" s="6">
        <f t="shared" si="8"/>
        <v>0</v>
      </c>
      <c r="S22" s="2"/>
      <c r="T22" s="7">
        <v>603.9</v>
      </c>
      <c r="U22" s="2"/>
      <c r="V22" s="6">
        <f t="shared" si="9"/>
        <v>0</v>
      </c>
      <c r="W22" s="2"/>
      <c r="X22" s="7">
        <f t="shared" si="10"/>
        <v>90.170000000000073</v>
      </c>
      <c r="Y22" s="2"/>
      <c r="Z22" s="6">
        <f t="shared" si="11"/>
        <v>0.14931280013247239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3917.15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552.15000000000009</v>
      </c>
      <c r="M23" s="2"/>
      <c r="N23" s="6">
        <f t="shared" si="7"/>
        <v>0.16408618127786034</v>
      </c>
      <c r="O23" s="11"/>
      <c r="P23" s="7">
        <v>35965.370000000003</v>
      </c>
      <c r="Q23" s="2"/>
      <c r="R23" s="6">
        <f t="shared" si="8"/>
        <v>0</v>
      </c>
      <c r="S23" s="2"/>
      <c r="T23" s="7">
        <v>30285</v>
      </c>
      <c r="U23" s="2"/>
      <c r="V23" s="6">
        <f t="shared" si="9"/>
        <v>0</v>
      </c>
      <c r="W23" s="2"/>
      <c r="X23" s="7">
        <f t="shared" si="10"/>
        <v>5680.3700000000026</v>
      </c>
      <c r="Y23" s="2"/>
      <c r="Z23" s="6">
        <f t="shared" si="11"/>
        <v>0.18756381046722809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49.43</v>
      </c>
      <c r="E24" s="2"/>
      <c r="F24" s="6">
        <f t="shared" si="4"/>
        <v>0</v>
      </c>
      <c r="G24" s="2"/>
      <c r="H24" s="7">
        <v>51.712000000000003</v>
      </c>
      <c r="I24" s="2"/>
      <c r="J24" s="6">
        <f t="shared" si="5"/>
        <v>0</v>
      </c>
      <c r="K24" s="2"/>
      <c r="L24" s="7">
        <f t="shared" si="6"/>
        <v>-2.2820000000000036</v>
      </c>
      <c r="M24" s="2"/>
      <c r="N24" s="6">
        <f t="shared" si="7"/>
        <v>-4.4129022277227786E-2</v>
      </c>
      <c r="O24" s="11"/>
      <c r="P24" s="7">
        <v>546.85</v>
      </c>
      <c r="Q24" s="2"/>
      <c r="R24" s="6">
        <f t="shared" si="8"/>
        <v>0</v>
      </c>
      <c r="S24" s="2"/>
      <c r="T24" s="7">
        <v>497.64</v>
      </c>
      <c r="U24" s="2"/>
      <c r="V24" s="6">
        <f t="shared" si="9"/>
        <v>0</v>
      </c>
      <c r="W24" s="2"/>
      <c r="X24" s="7">
        <f t="shared" si="10"/>
        <v>49.210000000000036</v>
      </c>
      <c r="Y24" s="2"/>
      <c r="Z24" s="6">
        <f t="shared" si="11"/>
        <v>9.8886745438469648E-2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1614.1538461538501</v>
      </c>
      <c r="I25" s="2"/>
      <c r="J25" s="6">
        <f t="shared" si="5"/>
        <v>0</v>
      </c>
      <c r="K25" s="2"/>
      <c r="L25" s="7">
        <f t="shared" si="6"/>
        <v>434.87615384615015</v>
      </c>
      <c r="M25" s="2"/>
      <c r="N25" s="6">
        <f t="shared" si="7"/>
        <v>0.26941431566907825</v>
      </c>
      <c r="O25" s="11"/>
      <c r="P25" s="7">
        <v>23665.62</v>
      </c>
      <c r="Q25" s="2"/>
      <c r="R25" s="6">
        <f t="shared" si="8"/>
        <v>0</v>
      </c>
      <c r="S25" s="2"/>
      <c r="T25" s="7">
        <v>15738</v>
      </c>
      <c r="U25" s="2"/>
      <c r="V25" s="6">
        <f t="shared" si="9"/>
        <v>0</v>
      </c>
      <c r="W25" s="2"/>
      <c r="X25" s="7">
        <f t="shared" si="10"/>
        <v>7927.619999999999</v>
      </c>
      <c r="Y25" s="2"/>
      <c r="Z25" s="6">
        <f t="shared" si="11"/>
        <v>0.50372474266107503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1658.98</v>
      </c>
      <c r="E27" s="2"/>
      <c r="F27" s="6">
        <f t="shared" si="4"/>
        <v>0</v>
      </c>
      <c r="G27" s="2"/>
      <c r="H27" s="7">
        <v>938.46153846153902</v>
      </c>
      <c r="I27" s="2"/>
      <c r="J27" s="6">
        <f t="shared" si="5"/>
        <v>0</v>
      </c>
      <c r="K27" s="2"/>
      <c r="L27" s="7">
        <f t="shared" si="6"/>
        <v>720.518461538461</v>
      </c>
      <c r="M27" s="2"/>
      <c r="N27" s="6">
        <f t="shared" si="7"/>
        <v>0.76776557377049082</v>
      </c>
      <c r="O27" s="11"/>
      <c r="P27" s="7">
        <v>15760.31</v>
      </c>
      <c r="Q27" s="2"/>
      <c r="R27" s="6">
        <f t="shared" si="8"/>
        <v>0</v>
      </c>
      <c r="S27" s="2"/>
      <c r="T27" s="7">
        <v>9149.9999999999909</v>
      </c>
      <c r="U27" s="2"/>
      <c r="V27" s="6">
        <f t="shared" si="9"/>
        <v>0</v>
      </c>
      <c r="W27" s="2"/>
      <c r="X27" s="7">
        <f t="shared" si="10"/>
        <v>6610.3100000000086</v>
      </c>
      <c r="Y27" s="2"/>
      <c r="Z27" s="6">
        <f t="shared" si="11"/>
        <v>0.72243825136612183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856.8</v>
      </c>
      <c r="E28" s="2"/>
      <c r="F28" s="6">
        <f t="shared" si="4"/>
        <v>0</v>
      </c>
      <c r="G28" s="2"/>
      <c r="H28" s="7">
        <v>596.676923076923</v>
      </c>
      <c r="I28" s="2"/>
      <c r="J28" s="6">
        <f t="shared" si="5"/>
        <v>0</v>
      </c>
      <c r="K28" s="2"/>
      <c r="L28" s="7">
        <f t="shared" si="6"/>
        <v>260.12307692307695</v>
      </c>
      <c r="M28" s="2"/>
      <c r="N28" s="6">
        <f t="shared" si="7"/>
        <v>0.43595297029702978</v>
      </c>
      <c r="O28" s="11"/>
      <c r="P28" s="7">
        <v>8139.6</v>
      </c>
      <c r="Q28" s="2"/>
      <c r="R28" s="6">
        <f t="shared" si="8"/>
        <v>0</v>
      </c>
      <c r="S28" s="2"/>
      <c r="T28" s="7">
        <v>5742</v>
      </c>
      <c r="U28" s="2"/>
      <c r="V28" s="6">
        <f t="shared" si="9"/>
        <v>0</v>
      </c>
      <c r="W28" s="2"/>
      <c r="X28" s="7">
        <f t="shared" si="10"/>
        <v>2397.6000000000004</v>
      </c>
      <c r="Y28" s="2"/>
      <c r="Z28" s="6">
        <f t="shared" si="11"/>
        <v>0.41755485893416933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36.479999999999997</v>
      </c>
      <c r="E29" s="2"/>
      <c r="F29" s="6">
        <f t="shared" si="4"/>
        <v>0</v>
      </c>
      <c r="G29" s="2"/>
      <c r="H29" s="7">
        <v>525</v>
      </c>
      <c r="I29" s="2"/>
      <c r="J29" s="6">
        <f t="shared" si="5"/>
        <v>0</v>
      </c>
      <c r="K29" s="2"/>
      <c r="L29" s="7">
        <f t="shared" si="6"/>
        <v>-488.52</v>
      </c>
      <c r="M29" s="2"/>
      <c r="N29" s="6">
        <f t="shared" si="7"/>
        <v>-0.93051428571428563</v>
      </c>
      <c r="O29" s="11"/>
      <c r="P29" s="7">
        <v>366.81</v>
      </c>
      <c r="Q29" s="2"/>
      <c r="R29" s="6">
        <f t="shared" si="8"/>
        <v>0</v>
      </c>
      <c r="S29" s="2"/>
      <c r="T29" s="7">
        <v>3675</v>
      </c>
      <c r="U29" s="2"/>
      <c r="V29" s="6">
        <f t="shared" si="9"/>
        <v>0</v>
      </c>
      <c r="W29" s="2"/>
      <c r="X29" s="7">
        <f t="shared" si="10"/>
        <v>-3308.19</v>
      </c>
      <c r="Y29" s="2"/>
      <c r="Z29" s="6">
        <f t="shared" si="11"/>
        <v>-0.90018775510204085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18866.940000000002</v>
      </c>
      <c r="E30" s="1"/>
      <c r="F30" s="5">
        <f t="shared" ref="F30:F40" si="12">IF(D$12=0,0,D30/D$12)</f>
        <v>0</v>
      </c>
      <c r="G30" s="1"/>
      <c r="H30" s="1">
        <f>SUM(OSRRefH22_1x_0)</f>
        <v>18387.692307692272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479.24769230773018</v>
      </c>
      <c r="M30" s="1"/>
      <c r="N30" s="5">
        <f t="shared" ref="N30:N40" si="15">IF(H30=0,0,L30/H30)</f>
        <v>2.6063504016066368E-2</v>
      </c>
      <c r="O30" s="13"/>
      <c r="P30" s="1">
        <f>SUM(OSRRefP22_1x_0)</f>
        <v>128965.41</v>
      </c>
      <c r="Q30" s="1"/>
      <c r="R30" s="5">
        <f t="shared" ref="R30:R40" si="16">IF(P$12=0,0,P30/P$12)</f>
        <v>0</v>
      </c>
      <c r="S30" s="1"/>
      <c r="T30" s="1">
        <f>SUM(OSRRefT22_1x_0)</f>
        <v>176760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-47794.59</v>
      </c>
      <c r="Y30" s="1"/>
      <c r="Z30" s="5">
        <f t="shared" ref="Z30:Z40" si="19">IF(T30=0,0,X30/T30)</f>
        <v>-0.27039256619144603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14215.28</v>
      </c>
      <c r="E31" s="2"/>
      <c r="F31" s="6">
        <f t="shared" si="12"/>
        <v>0</v>
      </c>
      <c r="G31" s="2"/>
      <c r="H31" s="7">
        <v>12738.461538461501</v>
      </c>
      <c r="I31" s="2"/>
      <c r="J31" s="6">
        <f t="shared" si="13"/>
        <v>0</v>
      </c>
      <c r="K31" s="2"/>
      <c r="L31" s="7">
        <f t="shared" si="14"/>
        <v>1476.8184615384998</v>
      </c>
      <c r="M31" s="2"/>
      <c r="N31" s="6">
        <f t="shared" si="15"/>
        <v>0.11593381642512413</v>
      </c>
      <c r="O31" s="11"/>
      <c r="P31" s="7">
        <v>133190.09</v>
      </c>
      <c r="Q31" s="2"/>
      <c r="R31" s="6">
        <f t="shared" si="16"/>
        <v>0</v>
      </c>
      <c r="S31" s="2"/>
      <c r="T31" s="7">
        <v>124200</v>
      </c>
      <c r="U31" s="2"/>
      <c r="V31" s="6">
        <f t="shared" si="17"/>
        <v>0</v>
      </c>
      <c r="W31" s="2"/>
      <c r="X31" s="7">
        <f t="shared" si="18"/>
        <v>8990.0899999999965</v>
      </c>
      <c r="Y31" s="2"/>
      <c r="Z31" s="6">
        <f t="shared" si="19"/>
        <v>7.2383977455716564E-2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4651.66</v>
      </c>
      <c r="E32" s="2"/>
      <c r="F32" s="6">
        <f t="shared" si="12"/>
        <v>0</v>
      </c>
      <c r="G32" s="2"/>
      <c r="H32" s="7">
        <v>4529.2307692307704</v>
      </c>
      <c r="I32" s="2"/>
      <c r="J32" s="6">
        <f t="shared" si="13"/>
        <v>0</v>
      </c>
      <c r="K32" s="2"/>
      <c r="L32" s="7">
        <f t="shared" si="14"/>
        <v>122.42923076922943</v>
      </c>
      <c r="M32" s="2"/>
      <c r="N32" s="6">
        <f t="shared" si="15"/>
        <v>2.7030910326086656E-2</v>
      </c>
      <c r="O32" s="11"/>
      <c r="P32" s="7">
        <v>40732.61</v>
      </c>
      <c r="Q32" s="2"/>
      <c r="R32" s="6">
        <f t="shared" si="16"/>
        <v>0</v>
      </c>
      <c r="S32" s="2"/>
      <c r="T32" s="7">
        <v>44160</v>
      </c>
      <c r="U32" s="2"/>
      <c r="V32" s="6">
        <f t="shared" si="17"/>
        <v>0</v>
      </c>
      <c r="W32" s="2"/>
      <c r="X32" s="7">
        <f t="shared" si="18"/>
        <v>-3427.3899999999994</v>
      </c>
      <c r="Y32" s="2"/>
      <c r="Z32" s="6">
        <f t="shared" si="19"/>
        <v>-7.761299818840578E-2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1120</v>
      </c>
      <c r="I37" s="2"/>
      <c r="J37" s="6">
        <f t="shared" si="13"/>
        <v>0</v>
      </c>
      <c r="K37" s="2"/>
      <c r="L37" s="7">
        <f t="shared" si="14"/>
        <v>-1120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7280</v>
      </c>
      <c r="U37" s="2"/>
      <c r="V37" s="6">
        <f t="shared" si="17"/>
        <v>0</v>
      </c>
      <c r="W37" s="2"/>
      <c r="X37" s="7">
        <f t="shared" si="18"/>
        <v>-52237.29</v>
      </c>
      <c r="Y37" s="2"/>
      <c r="Z37" s="6">
        <f t="shared" si="19"/>
        <v>-7.1754519230769231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0">IF(D$12=0,0,D41/D$12)</f>
        <v>0</v>
      </c>
      <c r="G41" s="1"/>
      <c r="H41" s="1">
        <f>SUM(OSRRefH22_2x_0)</f>
        <v>500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-500</v>
      </c>
      <c r="M41" s="1"/>
      <c r="N41" s="5">
        <f t="shared" ref="N41:N47" si="23">IF(H41=0,0,L41/H41)</f>
        <v>-1</v>
      </c>
      <c r="O41" s="13"/>
      <c r="P41" s="1">
        <f>SUM(OSRRefP22_2x_0)</f>
        <v>66.8</v>
      </c>
      <c r="Q41" s="1"/>
      <c r="R41" s="5">
        <f t="shared" ref="R41:R47" si="24">IF(P$12=0,0,P41/P$12)</f>
        <v>0</v>
      </c>
      <c r="S41" s="1"/>
      <c r="T41" s="1">
        <f>SUM(OSRRefT22_2x_0)</f>
        <v>4500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-4433.2</v>
      </c>
      <c r="Y41" s="1"/>
      <c r="Z41" s="5">
        <f t="shared" ref="Z41:Z47" si="27">IF(T41=0,0,X41/T41)</f>
        <v>-0.98515555555555556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-500</v>
      </c>
      <c r="M42" s="2"/>
      <c r="N42" s="6">
        <f t="shared" si="23"/>
        <v>-1</v>
      </c>
      <c r="O42" s="11"/>
      <c r="P42" s="7">
        <v>66.8</v>
      </c>
      <c r="Q42" s="2"/>
      <c r="R42" s="6">
        <f t="shared" si="24"/>
        <v>0</v>
      </c>
      <c r="S42" s="2"/>
      <c r="T42" s="7">
        <v>4500</v>
      </c>
      <c r="U42" s="2"/>
      <c r="V42" s="6">
        <f t="shared" si="25"/>
        <v>0</v>
      </c>
      <c r="W42" s="2"/>
      <c r="X42" s="7">
        <f t="shared" si="26"/>
        <v>-4433.2</v>
      </c>
      <c r="Y42" s="2"/>
      <c r="Z42" s="6">
        <f t="shared" si="27"/>
        <v>-0.98515555555555556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3"/>
      <c r="P43" s="1">
        <f>SUM(OSRRefP22_3x_0)</f>
        <v>2833.83</v>
      </c>
      <c r="Q43" s="1"/>
      <c r="R43" s="5">
        <f t="shared" si="24"/>
        <v>0</v>
      </c>
      <c r="S43" s="1"/>
      <c r="T43" s="1">
        <f>SUM(OSRRefT22_3x_0)</f>
        <v>2835</v>
      </c>
      <c r="U43" s="1"/>
      <c r="V43" s="5">
        <f t="shared" si="25"/>
        <v>0</v>
      </c>
      <c r="W43" s="1"/>
      <c r="X43" s="1">
        <f t="shared" si="26"/>
        <v>-1.1700000000000728</v>
      </c>
      <c r="Y43" s="1"/>
      <c r="Z43" s="5">
        <f t="shared" si="27"/>
        <v>-4.1269841269843838E-4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2833.83</v>
      </c>
      <c r="Q44" s="2"/>
      <c r="R44" s="6">
        <f t="shared" si="24"/>
        <v>0</v>
      </c>
      <c r="S44" s="2"/>
      <c r="T44" s="7">
        <v>2835</v>
      </c>
      <c r="U44" s="2"/>
      <c r="V44" s="6">
        <f t="shared" si="25"/>
        <v>0</v>
      </c>
      <c r="W44" s="2"/>
      <c r="X44" s="7">
        <f t="shared" si="26"/>
        <v>-1.1700000000000728</v>
      </c>
      <c r="Y44" s="2"/>
      <c r="Z44" s="6">
        <f t="shared" si="27"/>
        <v>-4.1269841269843838E-4</v>
      </c>
    </row>
    <row r="45" spans="1:26" s="25" customFormat="1" outlineLevel="1" collapsed="1" x14ac:dyDescent="0.25">
      <c r="A45" s="27"/>
      <c r="B45" s="13" t="str">
        <f>CONCATENATE("     ","Donations                                         ")</f>
        <v xml:space="preserve">     Donations              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1000</v>
      </c>
      <c r="I45" s="1"/>
      <c r="J45" s="5">
        <f t="shared" si="21"/>
        <v>0</v>
      </c>
      <c r="K45" s="1"/>
      <c r="L45" s="1">
        <f t="shared" si="22"/>
        <v>-1000</v>
      </c>
      <c r="M45" s="1"/>
      <c r="N45" s="5">
        <f t="shared" si="23"/>
        <v>-1</v>
      </c>
      <c r="O45" s="13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38750</v>
      </c>
      <c r="U45" s="1"/>
      <c r="V45" s="5">
        <f t="shared" si="25"/>
        <v>0</v>
      </c>
      <c r="W45" s="1"/>
      <c r="X45" s="1">
        <f t="shared" si="26"/>
        <v>-13750</v>
      </c>
      <c r="Y45" s="1"/>
      <c r="Z45" s="5">
        <f t="shared" si="27"/>
        <v>-0.35483870967741937</v>
      </c>
    </row>
    <row r="46" spans="1:26" s="24" customFormat="1" hidden="1" outlineLevel="2" x14ac:dyDescent="0.25">
      <c r="A46" s="26"/>
      <c r="B46" s="11" t="str">
        <f>CONCATENATE("          ", "6395", " - ", "DONATION-OFF CAMPUS")</f>
        <v xml:space="preserve">          6395 - DONATION-OFF CAMPUS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1500</v>
      </c>
      <c r="U46" s="2"/>
      <c r="V46" s="6">
        <f t="shared" si="25"/>
        <v>0</v>
      </c>
      <c r="W46" s="2"/>
      <c r="X46" s="7">
        <f t="shared" si="26"/>
        <v>-1500</v>
      </c>
      <c r="Y46" s="2"/>
      <c r="Z46" s="6">
        <f t="shared" si="27"/>
        <v>-1</v>
      </c>
    </row>
    <row r="47" spans="1:26" s="24" customFormat="1" hidden="1" outlineLevel="2" x14ac:dyDescent="0.25">
      <c r="A47" s="26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20"/>
        <v>0</v>
      </c>
      <c r="G47" s="2"/>
      <c r="H47" s="7">
        <v>1000</v>
      </c>
      <c r="I47" s="2"/>
      <c r="J47" s="6">
        <f t="shared" si="21"/>
        <v>0</v>
      </c>
      <c r="K47" s="2"/>
      <c r="L47" s="7">
        <f t="shared" si="22"/>
        <v>-1000</v>
      </c>
      <c r="M47" s="2"/>
      <c r="N47" s="6">
        <f t="shared" si="23"/>
        <v>-1</v>
      </c>
      <c r="O47" s="11"/>
      <c r="P47" s="7">
        <v>25000</v>
      </c>
      <c r="Q47" s="2"/>
      <c r="R47" s="6">
        <f t="shared" si="24"/>
        <v>0</v>
      </c>
      <c r="S47" s="2"/>
      <c r="T47" s="7">
        <v>37250</v>
      </c>
      <c r="U47" s="2"/>
      <c r="V47" s="6">
        <f t="shared" si="25"/>
        <v>0</v>
      </c>
      <c r="W47" s="2"/>
      <c r="X47" s="7">
        <f t="shared" si="26"/>
        <v>-12250</v>
      </c>
      <c r="Y47" s="2"/>
      <c r="Z47" s="6">
        <f t="shared" si="27"/>
        <v>-0.32885906040268459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61" si="28">IF(D$12=0,0,D48/D$12)</f>
        <v>0</v>
      </c>
      <c r="G48" s="1"/>
      <c r="H48" s="1">
        <f>SUM(OSRRefH22_5x_0)</f>
        <v>0</v>
      </c>
      <c r="I48" s="1"/>
      <c r="J48" s="5">
        <f t="shared" ref="J48:J61" si="29">IF(H$12=0,0,H48/H$12)</f>
        <v>0</v>
      </c>
      <c r="K48" s="1"/>
      <c r="L48" s="1">
        <f t="shared" ref="L48:L61" si="30">+D48-H48</f>
        <v>0</v>
      </c>
      <c r="M48" s="1"/>
      <c r="N48" s="5">
        <f t="shared" ref="N48:N61" si="31">IF(H48=0,0,L48/H48)</f>
        <v>0</v>
      </c>
      <c r="O48" s="13"/>
      <c r="P48" s="1">
        <f>SUM(OSRRefP22_5x_0)</f>
        <v>0</v>
      </c>
      <c r="Q48" s="1"/>
      <c r="R48" s="5">
        <f t="shared" ref="R48:R61" si="32">IF(P$12=0,0,P48/P$12)</f>
        <v>0</v>
      </c>
      <c r="S48" s="1"/>
      <c r="T48" s="1">
        <f>SUM(OSRRefT22_5x_0)</f>
        <v>3000</v>
      </c>
      <c r="U48" s="1"/>
      <c r="V48" s="5">
        <f t="shared" ref="V48:V61" si="33">IF(T$12=0,0,T48/T$12)</f>
        <v>0</v>
      </c>
      <c r="W48" s="1"/>
      <c r="X48" s="1">
        <f t="shared" ref="X48:X61" si="34">+P48-T48</f>
        <v>-3000</v>
      </c>
      <c r="Y48" s="1"/>
      <c r="Z48" s="5">
        <f t="shared" ref="Z48:Z61" si="35">IF(T48=0,0,X48/T48)</f>
        <v>-1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3000</v>
      </c>
      <c r="U49" s="2"/>
      <c r="V49" s="6">
        <f t="shared" si="33"/>
        <v>0</v>
      </c>
      <c r="W49" s="2"/>
      <c r="X49" s="7">
        <f t="shared" si="34"/>
        <v>-3000</v>
      </c>
      <c r="Y49" s="2"/>
      <c r="Z49" s="6">
        <f t="shared" si="35"/>
        <v>-1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208.97</v>
      </c>
      <c r="E50" s="1"/>
      <c r="F50" s="5">
        <f t="shared" si="28"/>
        <v>0</v>
      </c>
      <c r="G50" s="1"/>
      <c r="H50" s="1">
        <f>SUM(OSRRefH22_6x_0)</f>
        <v>118</v>
      </c>
      <c r="I50" s="1"/>
      <c r="J50" s="5">
        <f t="shared" si="29"/>
        <v>0</v>
      </c>
      <c r="K50" s="1"/>
      <c r="L50" s="1">
        <f t="shared" si="30"/>
        <v>90.97</v>
      </c>
      <c r="M50" s="1"/>
      <c r="N50" s="5">
        <f t="shared" si="31"/>
        <v>0.77093220338983048</v>
      </c>
      <c r="O50" s="13"/>
      <c r="P50" s="1">
        <f>SUM(OSRRefP22_6x_0)</f>
        <v>1150.6500000000001</v>
      </c>
      <c r="Q50" s="1"/>
      <c r="R50" s="5">
        <f t="shared" si="32"/>
        <v>0</v>
      </c>
      <c r="S50" s="1"/>
      <c r="T50" s="1">
        <f>SUM(OSRRefT22_6x_0)</f>
        <v>1062</v>
      </c>
      <c r="U50" s="1"/>
      <c r="V50" s="5">
        <f t="shared" si="33"/>
        <v>0</v>
      </c>
      <c r="W50" s="1"/>
      <c r="X50" s="1">
        <f t="shared" si="34"/>
        <v>88.650000000000091</v>
      </c>
      <c r="Y50" s="1"/>
      <c r="Z50" s="5">
        <f t="shared" si="35"/>
        <v>8.3474576271186526E-2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208.97</v>
      </c>
      <c r="E51" s="2"/>
      <c r="F51" s="6">
        <f t="shared" si="28"/>
        <v>0</v>
      </c>
      <c r="G51" s="2"/>
      <c r="H51" s="7">
        <v>118</v>
      </c>
      <c r="I51" s="2"/>
      <c r="J51" s="6">
        <f t="shared" si="29"/>
        <v>0</v>
      </c>
      <c r="K51" s="2"/>
      <c r="L51" s="7">
        <f t="shared" si="30"/>
        <v>90.97</v>
      </c>
      <c r="M51" s="2"/>
      <c r="N51" s="6">
        <f t="shared" si="31"/>
        <v>0.77093220338983048</v>
      </c>
      <c r="O51" s="11"/>
      <c r="P51" s="7">
        <v>1150.6500000000001</v>
      </c>
      <c r="Q51" s="2"/>
      <c r="R51" s="6">
        <f t="shared" si="32"/>
        <v>0</v>
      </c>
      <c r="S51" s="2"/>
      <c r="T51" s="7">
        <v>1062</v>
      </c>
      <c r="U51" s="2"/>
      <c r="V51" s="6">
        <f t="shared" si="33"/>
        <v>0</v>
      </c>
      <c r="W51" s="2"/>
      <c r="X51" s="7">
        <f t="shared" si="34"/>
        <v>88.650000000000091</v>
      </c>
      <c r="Y51" s="2"/>
      <c r="Z51" s="6">
        <f t="shared" si="35"/>
        <v>8.3474576271186526E-2</v>
      </c>
    </row>
    <row r="52" spans="1:26" s="25" customFormat="1" outlineLevel="1" collapsed="1" x14ac:dyDescent="0.25">
      <c r="A52" s="27"/>
      <c r="B52" s="13" t="str">
        <f>CONCATENATE("     ","Freight out/Postage                               ")</f>
        <v xml:space="preserve">     Freight out/Postage                               </v>
      </c>
      <c r="C52" s="13"/>
      <c r="D52" s="1">
        <f>SUM(OSRRefD22_7x_0)</f>
        <v>1.53</v>
      </c>
      <c r="E52" s="1"/>
      <c r="F52" s="5">
        <f t="shared" si="28"/>
        <v>0</v>
      </c>
      <c r="G52" s="1"/>
      <c r="H52" s="1">
        <f>SUM(OSRRefH22_7x_0)</f>
        <v>15</v>
      </c>
      <c r="I52" s="1"/>
      <c r="J52" s="5">
        <f t="shared" si="29"/>
        <v>0</v>
      </c>
      <c r="K52" s="1"/>
      <c r="L52" s="1">
        <f t="shared" si="30"/>
        <v>-13.47</v>
      </c>
      <c r="M52" s="1"/>
      <c r="N52" s="5">
        <f t="shared" si="31"/>
        <v>-0.89800000000000002</v>
      </c>
      <c r="O52" s="13"/>
      <c r="P52" s="1">
        <f>SUM(OSRRefP22_7x_0)</f>
        <v>66.59</v>
      </c>
      <c r="Q52" s="1"/>
      <c r="R52" s="5">
        <f t="shared" si="32"/>
        <v>0</v>
      </c>
      <c r="S52" s="1"/>
      <c r="T52" s="1">
        <f>SUM(OSRRefT22_7x_0)</f>
        <v>135</v>
      </c>
      <c r="U52" s="1"/>
      <c r="V52" s="5">
        <f t="shared" si="33"/>
        <v>0</v>
      </c>
      <c r="W52" s="1"/>
      <c r="X52" s="1">
        <f t="shared" si="34"/>
        <v>-68.41</v>
      </c>
      <c r="Y52" s="1"/>
      <c r="Z52" s="5">
        <f t="shared" si="35"/>
        <v>-0.50674074074074071</v>
      </c>
    </row>
    <row r="53" spans="1:26" s="24" customFormat="1" hidden="1" outlineLevel="2" x14ac:dyDescent="0.25">
      <c r="A53" s="26"/>
      <c r="B53" s="11" t="str">
        <f>CONCATENATE("          ", "6307", " - ", "POSTAGE")</f>
        <v xml:space="preserve">          6307 - POSTAGE</v>
      </c>
      <c r="C53" s="11"/>
      <c r="D53" s="7">
        <v>1.53</v>
      </c>
      <c r="E53" s="2"/>
      <c r="F53" s="6">
        <f t="shared" si="28"/>
        <v>0</v>
      </c>
      <c r="G53" s="2"/>
      <c r="H53" s="7">
        <v>15</v>
      </c>
      <c r="I53" s="2"/>
      <c r="J53" s="6">
        <f t="shared" si="29"/>
        <v>0</v>
      </c>
      <c r="K53" s="2"/>
      <c r="L53" s="7">
        <f t="shared" si="30"/>
        <v>-13.47</v>
      </c>
      <c r="M53" s="2"/>
      <c r="N53" s="6">
        <f t="shared" si="31"/>
        <v>-0.89800000000000002</v>
      </c>
      <c r="O53" s="11"/>
      <c r="P53" s="7">
        <v>66.59</v>
      </c>
      <c r="Q53" s="2"/>
      <c r="R53" s="6">
        <f t="shared" si="32"/>
        <v>0</v>
      </c>
      <c r="S53" s="2"/>
      <c r="T53" s="7">
        <v>135</v>
      </c>
      <c r="U53" s="2"/>
      <c r="V53" s="6">
        <f t="shared" si="33"/>
        <v>0</v>
      </c>
      <c r="W53" s="2"/>
      <c r="X53" s="7">
        <f t="shared" si="34"/>
        <v>-68.41</v>
      </c>
      <c r="Y53" s="2"/>
      <c r="Z53" s="6">
        <f t="shared" si="35"/>
        <v>-0.50674074074074071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500</v>
      </c>
      <c r="I54" s="1"/>
      <c r="J54" s="5">
        <f t="shared" si="29"/>
        <v>0</v>
      </c>
      <c r="K54" s="1"/>
      <c r="L54" s="1">
        <f t="shared" si="30"/>
        <v>-500</v>
      </c>
      <c r="M54" s="1"/>
      <c r="N54" s="5">
        <f t="shared" si="31"/>
        <v>-1</v>
      </c>
      <c r="O54" s="13"/>
      <c r="P54" s="1">
        <f>SUM(OSRRefP22_8x_0)</f>
        <v>0</v>
      </c>
      <c r="Q54" s="1"/>
      <c r="R54" s="5">
        <f t="shared" si="32"/>
        <v>0</v>
      </c>
      <c r="S54" s="1"/>
      <c r="T54" s="1">
        <f>SUM(OSRRefT22_8x_0)</f>
        <v>2000</v>
      </c>
      <c r="U54" s="1"/>
      <c r="V54" s="5">
        <f t="shared" si="33"/>
        <v>0</v>
      </c>
      <c r="W54" s="1"/>
      <c r="X54" s="1">
        <f t="shared" si="34"/>
        <v>-2000</v>
      </c>
      <c r="Y54" s="1"/>
      <c r="Z54" s="5">
        <f t="shared" si="35"/>
        <v>-1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>
        <v>500</v>
      </c>
      <c r="I55" s="2"/>
      <c r="J55" s="6">
        <f t="shared" si="29"/>
        <v>0</v>
      </c>
      <c r="K55" s="2"/>
      <c r="L55" s="7">
        <f t="shared" si="30"/>
        <v>-500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2000</v>
      </c>
      <c r="U55" s="2"/>
      <c r="V55" s="6">
        <f t="shared" si="33"/>
        <v>0</v>
      </c>
      <c r="W55" s="2"/>
      <c r="X55" s="7">
        <f t="shared" si="34"/>
        <v>-2000</v>
      </c>
      <c r="Y55" s="2"/>
      <c r="Z55" s="6">
        <f t="shared" si="35"/>
        <v>-1</v>
      </c>
    </row>
    <row r="56" spans="1:26" s="25" customFormat="1" outlineLevel="1" collapsed="1" x14ac:dyDescent="0.25">
      <c r="A56" s="27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SUM(OSRRefD22_9x_0)</f>
        <v>115.13</v>
      </c>
      <c r="E56" s="1"/>
      <c r="F56" s="5">
        <f t="shared" si="28"/>
        <v>0</v>
      </c>
      <c r="G56" s="1"/>
      <c r="H56" s="1">
        <f>SUM(OSRRefH22_9x_0)</f>
        <v>126</v>
      </c>
      <c r="I56" s="1"/>
      <c r="J56" s="5">
        <f t="shared" si="29"/>
        <v>0</v>
      </c>
      <c r="K56" s="1"/>
      <c r="L56" s="1">
        <f t="shared" si="30"/>
        <v>-10.870000000000005</v>
      </c>
      <c r="M56" s="1"/>
      <c r="N56" s="5">
        <f t="shared" si="31"/>
        <v>-8.6269841269841302E-2</v>
      </c>
      <c r="O56" s="13"/>
      <c r="P56" s="1">
        <f>SUM(OSRRefP22_9x_0)</f>
        <v>1036.17</v>
      </c>
      <c r="Q56" s="1"/>
      <c r="R56" s="5">
        <f t="shared" si="32"/>
        <v>0</v>
      </c>
      <c r="S56" s="1"/>
      <c r="T56" s="1">
        <f>SUM(OSRRefT22_9x_0)</f>
        <v>1134</v>
      </c>
      <c r="U56" s="1"/>
      <c r="V56" s="5">
        <f t="shared" si="33"/>
        <v>0</v>
      </c>
      <c r="W56" s="1"/>
      <c r="X56" s="1">
        <f t="shared" si="34"/>
        <v>-97.829999999999927</v>
      </c>
      <c r="Y56" s="1"/>
      <c r="Z56" s="5">
        <f t="shared" si="35"/>
        <v>-8.6269841269841205E-2</v>
      </c>
    </row>
    <row r="57" spans="1:26" s="24" customFormat="1" hidden="1" outlineLevel="2" x14ac:dyDescent="0.25">
      <c r="A57" s="26"/>
      <c r="B57" s="11" t="str">
        <f>CONCATENATE("          ", "6314", " - ", "LIABILITY INSURANCE")</f>
        <v xml:space="preserve">          6314 - LIABILITY INSURANCE</v>
      </c>
      <c r="C57" s="11"/>
      <c r="D57" s="7">
        <v>115.13</v>
      </c>
      <c r="E57" s="2"/>
      <c r="F57" s="6">
        <f t="shared" si="28"/>
        <v>0</v>
      </c>
      <c r="G57" s="2"/>
      <c r="H57" s="7">
        <v>126</v>
      </c>
      <c r="I57" s="2"/>
      <c r="J57" s="6">
        <f t="shared" si="29"/>
        <v>0</v>
      </c>
      <c r="K57" s="2"/>
      <c r="L57" s="7">
        <f t="shared" si="30"/>
        <v>-10.870000000000005</v>
      </c>
      <c r="M57" s="2"/>
      <c r="N57" s="6">
        <f t="shared" si="31"/>
        <v>-8.6269841269841302E-2</v>
      </c>
      <c r="O57" s="11"/>
      <c r="P57" s="7">
        <v>1036.17</v>
      </c>
      <c r="Q57" s="2"/>
      <c r="R57" s="6">
        <f t="shared" si="32"/>
        <v>0</v>
      </c>
      <c r="S57" s="2"/>
      <c r="T57" s="7">
        <v>1134</v>
      </c>
      <c r="U57" s="2"/>
      <c r="V57" s="6">
        <f t="shared" si="33"/>
        <v>0</v>
      </c>
      <c r="W57" s="2"/>
      <c r="X57" s="7">
        <f t="shared" si="34"/>
        <v>-97.829999999999927</v>
      </c>
      <c r="Y57" s="2"/>
      <c r="Z57" s="6">
        <f t="shared" si="35"/>
        <v>-8.6269841269841205E-2</v>
      </c>
    </row>
    <row r="58" spans="1:26" s="25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SUM(OSRRefP22_10x_0)</f>
        <v>50379.24</v>
      </c>
      <c r="Q58" s="1"/>
      <c r="R58" s="5">
        <f t="shared" si="32"/>
        <v>0</v>
      </c>
      <c r="S58" s="1"/>
      <c r="T58" s="1">
        <f>SUM(OSRRefT22_10x_0)</f>
        <v>58500</v>
      </c>
      <c r="U58" s="1"/>
      <c r="V58" s="5">
        <f t="shared" si="33"/>
        <v>0</v>
      </c>
      <c r="W58" s="1"/>
      <c r="X58" s="1">
        <f t="shared" si="34"/>
        <v>-8120.760000000002</v>
      </c>
      <c r="Y58" s="1"/>
      <c r="Z58" s="5">
        <f t="shared" si="35"/>
        <v>-0.13881641025641028</v>
      </c>
    </row>
    <row r="59" spans="1:26" s="24" customFormat="1" hidden="1" outlineLevel="2" x14ac:dyDescent="0.25">
      <c r="A59" s="26"/>
      <c r="B59" s="11" t="str">
        <f>CONCATENATE("          ", "6331", " - ", "INDIRECT COSTS-AUXILIARY ORGAN")</f>
        <v xml:space="preserve">          6331 - INDIRECT COSTS-AUXILIARY ORGAN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45850</v>
      </c>
      <c r="Q59" s="2"/>
      <c r="R59" s="6">
        <f t="shared" si="32"/>
        <v>0</v>
      </c>
      <c r="S59" s="2"/>
      <c r="T59" s="7">
        <v>49000</v>
      </c>
      <c r="U59" s="2"/>
      <c r="V59" s="6">
        <f t="shared" si="33"/>
        <v>0</v>
      </c>
      <c r="W59" s="2"/>
      <c r="X59" s="7">
        <f t="shared" si="34"/>
        <v>-3150</v>
      </c>
      <c r="Y59" s="2"/>
      <c r="Z59" s="6">
        <f t="shared" si="35"/>
        <v>-6.4285714285714279E-2</v>
      </c>
    </row>
    <row r="60" spans="1:26" s="24" customFormat="1" hidden="1" outlineLevel="2" x14ac:dyDescent="0.25">
      <c r="A60" s="26"/>
      <c r="B60" s="11" t="str">
        <f>CONCATENATE("          ", "6334", " - ", "LEGAL COUNCIL EXPENSE")</f>
        <v xml:space="preserve">          6334 - LEGAL COUNCIL EXPENSE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4529.24</v>
      </c>
      <c r="Q60" s="2"/>
      <c r="R60" s="6">
        <f t="shared" si="32"/>
        <v>0</v>
      </c>
      <c r="S60" s="2"/>
      <c r="T60" s="7">
        <v>4500</v>
      </c>
      <c r="U60" s="2"/>
      <c r="V60" s="6">
        <f t="shared" si="33"/>
        <v>0</v>
      </c>
      <c r="W60" s="2"/>
      <c r="X60" s="7">
        <f t="shared" si="34"/>
        <v>29.239999999999782</v>
      </c>
      <c r="Y60" s="2"/>
      <c r="Z60" s="6">
        <f t="shared" si="35"/>
        <v>6.4977777777777291E-3</v>
      </c>
    </row>
    <row r="61" spans="1:26" s="24" customFormat="1" hidden="1" outlineLevel="2" x14ac:dyDescent="0.25">
      <c r="A61" s="26"/>
      <c r="B61" s="11" t="str">
        <f>CONCATENATE("          ", "6336", " - ", "PROFESSIONAL SERVICES")</f>
        <v xml:space="preserve">          6336 - PROFESSIONAL SERVICES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5000</v>
      </c>
      <c r="U61" s="2"/>
      <c r="V61" s="6">
        <f t="shared" si="33"/>
        <v>0</v>
      </c>
      <c r="W61" s="2"/>
      <c r="X61" s="7">
        <f t="shared" si="34"/>
        <v>-5000</v>
      </c>
      <c r="Y61" s="2"/>
      <c r="Z61" s="6">
        <f t="shared" si="35"/>
        <v>-1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SUM(OSRRefD22_11x_0)</f>
        <v>4037.51</v>
      </c>
      <c r="E62" s="1"/>
      <c r="F62" s="5">
        <f t="shared" ref="F62:F64" si="36">IF(D$12=0,0,D62/D$12)</f>
        <v>0</v>
      </c>
      <c r="G62" s="1"/>
      <c r="H62" s="1">
        <f>SUM(OSRRefH22_11x_0)</f>
        <v>2182</v>
      </c>
      <c r="I62" s="1"/>
      <c r="J62" s="5">
        <f t="shared" ref="J62:J64" si="37">IF(H$12=0,0,H62/H$12)</f>
        <v>0</v>
      </c>
      <c r="K62" s="1"/>
      <c r="L62" s="1">
        <f t="shared" ref="L62:L64" si="38">+D62-H62</f>
        <v>1855.5100000000002</v>
      </c>
      <c r="M62" s="1"/>
      <c r="N62" s="5">
        <f t="shared" ref="N62:N64" si="39">IF(H62=0,0,L62/H62)</f>
        <v>0.85037121906507807</v>
      </c>
      <c r="O62" s="13"/>
      <c r="P62" s="1">
        <f>SUM(OSRRefP22_11x_0)</f>
        <v>19911.73</v>
      </c>
      <c r="Q62" s="1"/>
      <c r="R62" s="5">
        <f t="shared" ref="R62:R64" si="40">IF(P$12=0,0,P62/P$12)</f>
        <v>0</v>
      </c>
      <c r="S62" s="1"/>
      <c r="T62" s="1">
        <f>SUM(OSRRefT22_11x_0)</f>
        <v>19638</v>
      </c>
      <c r="U62" s="1"/>
      <c r="V62" s="5">
        <f t="shared" ref="V62:V64" si="41">IF(T$12=0,0,T62/T$12)</f>
        <v>0</v>
      </c>
      <c r="W62" s="1"/>
      <c r="X62" s="1">
        <f t="shared" ref="X62:X64" si="42">+P62-T62</f>
        <v>273.72999999999956</v>
      </c>
      <c r="Y62" s="1"/>
      <c r="Z62" s="5">
        <f t="shared" ref="Z62:Z64" si="43">IF(T62=0,0,X62/T62)</f>
        <v>1.3938792137692207E-2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7">
        <v>1980</v>
      </c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1980</v>
      </c>
      <c r="M63" s="2"/>
      <c r="N63" s="6">
        <f t="shared" si="39"/>
        <v>0</v>
      </c>
      <c r="O63" s="11"/>
      <c r="P63" s="7">
        <v>1980</v>
      </c>
      <c r="Q63" s="2"/>
      <c r="R63" s="6">
        <f t="shared" si="40"/>
        <v>0</v>
      </c>
      <c r="S63" s="2"/>
      <c r="T63" s="7"/>
      <c r="U63" s="2"/>
      <c r="V63" s="6">
        <f t="shared" si="41"/>
        <v>0</v>
      </c>
      <c r="W63" s="2"/>
      <c r="X63" s="7">
        <f t="shared" si="42"/>
        <v>1980</v>
      </c>
      <c r="Y63" s="2"/>
      <c r="Z63" s="6">
        <f t="shared" si="43"/>
        <v>0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7">
        <v>2057.5100000000002</v>
      </c>
      <c r="E64" s="2"/>
      <c r="F64" s="6">
        <f t="shared" si="36"/>
        <v>0</v>
      </c>
      <c r="G64" s="2"/>
      <c r="H64" s="7">
        <v>2182</v>
      </c>
      <c r="I64" s="2"/>
      <c r="J64" s="6">
        <f t="shared" si="37"/>
        <v>0</v>
      </c>
      <c r="K64" s="2"/>
      <c r="L64" s="7">
        <f t="shared" si="38"/>
        <v>-124.48999999999978</v>
      </c>
      <c r="M64" s="2"/>
      <c r="N64" s="6">
        <f t="shared" si="39"/>
        <v>-5.7053162236480194E-2</v>
      </c>
      <c r="O64" s="11"/>
      <c r="P64" s="7">
        <v>17931.73</v>
      </c>
      <c r="Q64" s="2"/>
      <c r="R64" s="6">
        <f t="shared" si="40"/>
        <v>0</v>
      </c>
      <c r="S64" s="2"/>
      <c r="T64" s="7">
        <v>19638</v>
      </c>
      <c r="U64" s="2"/>
      <c r="V64" s="6">
        <f t="shared" si="41"/>
        <v>0</v>
      </c>
      <c r="W64" s="2"/>
      <c r="X64" s="7">
        <f t="shared" si="42"/>
        <v>-1706.2700000000004</v>
      </c>
      <c r="Y64" s="2"/>
      <c r="Z64" s="6">
        <f t="shared" si="43"/>
        <v>-8.6886139118036484E-2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4">IF(D$12=0,0,D65/D$12)</f>
        <v>0</v>
      </c>
      <c r="G65" s="1"/>
      <c r="H65" s="1">
        <f>SUM(OSRRefH22_12x_0)</f>
        <v>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0</v>
      </c>
      <c r="M65" s="1"/>
      <c r="N65" s="5">
        <f t="shared" ref="N65:N70" si="47">IF(H65=0,0,L65/H65)</f>
        <v>0</v>
      </c>
      <c r="O65" s="13"/>
      <c r="P65" s="1">
        <f>SUM(OSRRefP22_12x_0)</f>
        <v>1725</v>
      </c>
      <c r="Q65" s="1"/>
      <c r="R65" s="5">
        <f t="shared" ref="R65:R70" si="48">IF(P$12=0,0,P65/P$12)</f>
        <v>0</v>
      </c>
      <c r="S65" s="1"/>
      <c r="T65" s="1">
        <f>SUM(OSRRefT22_12x_0)</f>
        <v>1250</v>
      </c>
      <c r="U65" s="1"/>
      <c r="V65" s="5">
        <f t="shared" ref="V65:V70" si="49">IF(T$12=0,0,T65/T$12)</f>
        <v>0</v>
      </c>
      <c r="W65" s="1"/>
      <c r="X65" s="1">
        <f t="shared" ref="X65:X70" si="50">+P65-T65</f>
        <v>475</v>
      </c>
      <c r="Y65" s="1"/>
      <c r="Z65" s="5">
        <f t="shared" ref="Z65:Z70" si="51">IF(T65=0,0,X65/T65)</f>
        <v>0.38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>
        <v>1725</v>
      </c>
      <c r="Q66" s="2"/>
      <c r="R66" s="6">
        <f t="shared" si="48"/>
        <v>0</v>
      </c>
      <c r="S66" s="2"/>
      <c r="T66" s="7">
        <v>1250</v>
      </c>
      <c r="U66" s="2"/>
      <c r="V66" s="6">
        <f t="shared" si="49"/>
        <v>0</v>
      </c>
      <c r="W66" s="2"/>
      <c r="X66" s="7">
        <f t="shared" si="50"/>
        <v>475</v>
      </c>
      <c r="Y66" s="2"/>
      <c r="Z66" s="6">
        <f t="shared" si="51"/>
        <v>0.38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53.18</v>
      </c>
      <c r="E67" s="1"/>
      <c r="F67" s="5">
        <f t="shared" si="44"/>
        <v>0</v>
      </c>
      <c r="G67" s="1"/>
      <c r="H67" s="1">
        <f>SUM(OSRRefH22_13x_0)</f>
        <v>1500</v>
      </c>
      <c r="I67" s="1"/>
      <c r="J67" s="5">
        <f t="shared" si="45"/>
        <v>0</v>
      </c>
      <c r="K67" s="1"/>
      <c r="L67" s="1">
        <f t="shared" si="46"/>
        <v>-1446.82</v>
      </c>
      <c r="M67" s="1"/>
      <c r="N67" s="5">
        <f t="shared" si="47"/>
        <v>-0.96454666666666666</v>
      </c>
      <c r="O67" s="13"/>
      <c r="P67" s="1">
        <f>SUM(OSRRefP22_13x_0)</f>
        <v>643.69000000000005</v>
      </c>
      <c r="Q67" s="1"/>
      <c r="R67" s="5">
        <f t="shared" si="48"/>
        <v>0</v>
      </c>
      <c r="S67" s="1"/>
      <c r="T67" s="1">
        <f>SUM(OSRRefT22_13x_0)</f>
        <v>13000</v>
      </c>
      <c r="U67" s="1"/>
      <c r="V67" s="5">
        <f t="shared" si="49"/>
        <v>0</v>
      </c>
      <c r="W67" s="1"/>
      <c r="X67" s="1">
        <f t="shared" si="50"/>
        <v>-12356.31</v>
      </c>
      <c r="Y67" s="1"/>
      <c r="Z67" s="5">
        <f t="shared" si="51"/>
        <v>-0.95048538461538457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>
        <v>1000</v>
      </c>
      <c r="I68" s="2"/>
      <c r="J68" s="6">
        <f t="shared" si="45"/>
        <v>0</v>
      </c>
      <c r="K68" s="2"/>
      <c r="L68" s="7">
        <f t="shared" si="46"/>
        <v>-1000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9000</v>
      </c>
      <c r="U68" s="2"/>
      <c r="V68" s="6">
        <f t="shared" si="49"/>
        <v>0</v>
      </c>
      <c r="W68" s="2"/>
      <c r="X68" s="7">
        <f t="shared" si="50"/>
        <v>-9000</v>
      </c>
      <c r="Y68" s="2"/>
      <c r="Z68" s="6">
        <f t="shared" si="51"/>
        <v>-1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4"/>
        <v>0</v>
      </c>
      <c r="G69" s="2"/>
      <c r="H69" s="7">
        <v>500</v>
      </c>
      <c r="I69" s="2"/>
      <c r="J69" s="6">
        <f t="shared" si="45"/>
        <v>0</v>
      </c>
      <c r="K69" s="2"/>
      <c r="L69" s="7">
        <f t="shared" si="46"/>
        <v>-500</v>
      </c>
      <c r="M69" s="2"/>
      <c r="N69" s="6">
        <f t="shared" si="47"/>
        <v>-1</v>
      </c>
      <c r="O69" s="11"/>
      <c r="P69" s="7">
        <v>106.94</v>
      </c>
      <c r="Q69" s="2"/>
      <c r="R69" s="6">
        <f t="shared" si="48"/>
        <v>0</v>
      </c>
      <c r="S69" s="2"/>
      <c r="T69" s="7">
        <v>1500</v>
      </c>
      <c r="U69" s="2"/>
      <c r="V69" s="6">
        <f t="shared" si="49"/>
        <v>0</v>
      </c>
      <c r="W69" s="2"/>
      <c r="X69" s="7">
        <f t="shared" si="50"/>
        <v>-1393.06</v>
      </c>
      <c r="Y69" s="2"/>
      <c r="Z69" s="6">
        <f t="shared" si="51"/>
        <v>-0.92870666666666668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>
        <v>53.18</v>
      </c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53.18</v>
      </c>
      <c r="M70" s="2"/>
      <c r="N70" s="6">
        <f t="shared" si="47"/>
        <v>0</v>
      </c>
      <c r="O70" s="11"/>
      <c r="P70" s="7">
        <v>536.75</v>
      </c>
      <c r="Q70" s="2"/>
      <c r="R70" s="6">
        <f t="shared" si="48"/>
        <v>0</v>
      </c>
      <c r="S70" s="2"/>
      <c r="T70" s="7">
        <v>2500</v>
      </c>
      <c r="U70" s="2"/>
      <c r="V70" s="6">
        <f t="shared" si="49"/>
        <v>0</v>
      </c>
      <c r="W70" s="2"/>
      <c r="X70" s="7">
        <f t="shared" si="50"/>
        <v>-1963.25</v>
      </c>
      <c r="Y70" s="2"/>
      <c r="Z70" s="6">
        <f t="shared" si="51"/>
        <v>-0.7853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310.44</v>
      </c>
      <c r="E71" s="1"/>
      <c r="F71" s="5">
        <f t="shared" ref="F71:F76" si="52">IF(D$12=0,0,D71/D$12)</f>
        <v>0</v>
      </c>
      <c r="G71" s="1"/>
      <c r="H71" s="1">
        <f>SUM(OSRRefH22_14x_0)</f>
        <v>350</v>
      </c>
      <c r="I71" s="1"/>
      <c r="J71" s="5">
        <f t="shared" ref="J71:J76" si="53">IF(H$12=0,0,H71/H$12)</f>
        <v>0</v>
      </c>
      <c r="K71" s="1"/>
      <c r="L71" s="1">
        <f t="shared" ref="L71:L76" si="54">+D71-H71</f>
        <v>-39.56</v>
      </c>
      <c r="M71" s="1"/>
      <c r="N71" s="5">
        <f t="shared" ref="N71:N76" si="55">IF(H71=0,0,L71/H71)</f>
        <v>-0.11302857142857144</v>
      </c>
      <c r="O71" s="13"/>
      <c r="P71" s="1">
        <f>SUM(OSRRefP22_14x_0)</f>
        <v>3724.31</v>
      </c>
      <c r="Q71" s="1"/>
      <c r="R71" s="5">
        <f t="shared" ref="R71:R76" si="56">IF(P$12=0,0,P71/P$12)</f>
        <v>0</v>
      </c>
      <c r="S71" s="1"/>
      <c r="T71" s="1">
        <f>SUM(OSRRefT22_14x_0)</f>
        <v>3150</v>
      </c>
      <c r="U71" s="1"/>
      <c r="V71" s="5">
        <f t="shared" ref="V71:V76" si="57">IF(T$12=0,0,T71/T$12)</f>
        <v>0</v>
      </c>
      <c r="W71" s="1"/>
      <c r="X71" s="1">
        <f t="shared" ref="X71:X76" si="58">+P71-T71</f>
        <v>574.30999999999995</v>
      </c>
      <c r="Y71" s="1"/>
      <c r="Z71" s="5">
        <f t="shared" ref="Z71:Z76" si="59">IF(T71=0,0,X71/T71)</f>
        <v>0.18232063492063491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310.44</v>
      </c>
      <c r="E72" s="2"/>
      <c r="F72" s="6">
        <f t="shared" si="52"/>
        <v>0</v>
      </c>
      <c r="G72" s="2"/>
      <c r="H72" s="7">
        <v>350</v>
      </c>
      <c r="I72" s="2"/>
      <c r="J72" s="6">
        <f t="shared" si="53"/>
        <v>0</v>
      </c>
      <c r="K72" s="2"/>
      <c r="L72" s="7">
        <f t="shared" si="54"/>
        <v>-39.56</v>
      </c>
      <c r="M72" s="2"/>
      <c r="N72" s="6">
        <f t="shared" si="55"/>
        <v>-0.11302857142857144</v>
      </c>
      <c r="O72" s="11"/>
      <c r="P72" s="7">
        <v>3724.31</v>
      </c>
      <c r="Q72" s="2"/>
      <c r="R72" s="6">
        <f t="shared" si="56"/>
        <v>0</v>
      </c>
      <c r="S72" s="2"/>
      <c r="T72" s="7">
        <v>3150</v>
      </c>
      <c r="U72" s="2"/>
      <c r="V72" s="6">
        <f t="shared" si="57"/>
        <v>0</v>
      </c>
      <c r="W72" s="2"/>
      <c r="X72" s="7">
        <f t="shared" si="58"/>
        <v>574.30999999999995</v>
      </c>
      <c r="Y72" s="2"/>
      <c r="Z72" s="6">
        <f t="shared" si="59"/>
        <v>0.18232063492063491</v>
      </c>
    </row>
    <row r="73" spans="1:26" s="25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0</v>
      </c>
      <c r="E73" s="1"/>
      <c r="F73" s="5">
        <f t="shared" si="52"/>
        <v>0</v>
      </c>
      <c r="G73" s="1"/>
      <c r="H73" s="1">
        <f>SUM(OSRRefH22_15x_0)</f>
        <v>0</v>
      </c>
      <c r="I73" s="1"/>
      <c r="J73" s="5">
        <f t="shared" si="53"/>
        <v>0</v>
      </c>
      <c r="K73" s="1"/>
      <c r="L73" s="1">
        <f t="shared" si="54"/>
        <v>0</v>
      </c>
      <c r="M73" s="1"/>
      <c r="N73" s="5">
        <f t="shared" si="55"/>
        <v>0</v>
      </c>
      <c r="O73" s="13"/>
      <c r="P73" s="1">
        <f>SUM(OSRRefP22_15x_0)</f>
        <v>1276.5</v>
      </c>
      <c r="Q73" s="1"/>
      <c r="R73" s="5">
        <f t="shared" si="56"/>
        <v>0</v>
      </c>
      <c r="S73" s="1"/>
      <c r="T73" s="1">
        <f>SUM(OSRRefT22_15x_0)</f>
        <v>4500</v>
      </c>
      <c r="U73" s="1"/>
      <c r="V73" s="5">
        <f t="shared" si="57"/>
        <v>0</v>
      </c>
      <c r="W73" s="1"/>
      <c r="X73" s="1">
        <f t="shared" si="58"/>
        <v>-3223.5</v>
      </c>
      <c r="Y73" s="1"/>
      <c r="Z73" s="5">
        <f t="shared" si="59"/>
        <v>-0.71633333333333338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52"/>
        <v>0</v>
      </c>
      <c r="G74" s="2"/>
      <c r="H74" s="7"/>
      <c r="I74" s="2"/>
      <c r="J74" s="6">
        <f t="shared" si="53"/>
        <v>0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>
        <v>1276.5</v>
      </c>
      <c r="Q74" s="2"/>
      <c r="R74" s="6">
        <f t="shared" si="56"/>
        <v>0</v>
      </c>
      <c r="S74" s="2"/>
      <c r="T74" s="7">
        <v>4500</v>
      </c>
      <c r="U74" s="2"/>
      <c r="V74" s="6">
        <f t="shared" si="57"/>
        <v>0</v>
      </c>
      <c r="W74" s="2"/>
      <c r="X74" s="7">
        <f t="shared" si="58"/>
        <v>-3223.5</v>
      </c>
      <c r="Y74" s="2"/>
      <c r="Z74" s="6">
        <f t="shared" si="59"/>
        <v>-0.71633333333333338</v>
      </c>
    </row>
    <row r="75" spans="1:26" s="25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52"/>
        <v>0</v>
      </c>
      <c r="G75" s="1"/>
      <c r="H75" s="1">
        <f>SUM(OSRRefH22_16x_0)</f>
        <v>0</v>
      </c>
      <c r="I75" s="1"/>
      <c r="J75" s="5">
        <f t="shared" si="53"/>
        <v>0</v>
      </c>
      <c r="K75" s="1"/>
      <c r="L75" s="1">
        <f t="shared" si="54"/>
        <v>0</v>
      </c>
      <c r="M75" s="1"/>
      <c r="N75" s="5">
        <f t="shared" si="55"/>
        <v>0</v>
      </c>
      <c r="O75" s="13"/>
      <c r="P75" s="1">
        <f>SUM(OSRRefP22_16x_0)</f>
        <v>0</v>
      </c>
      <c r="Q75" s="1"/>
      <c r="R75" s="5">
        <f t="shared" si="56"/>
        <v>0</v>
      </c>
      <c r="S75" s="1"/>
      <c r="T75" s="1">
        <f>SUM(OSRRefT22_16x_0)</f>
        <v>1600</v>
      </c>
      <c r="U75" s="1"/>
      <c r="V75" s="5">
        <f t="shared" si="57"/>
        <v>0</v>
      </c>
      <c r="W75" s="1"/>
      <c r="X75" s="1">
        <f t="shared" si="58"/>
        <v>-1600</v>
      </c>
      <c r="Y75" s="1"/>
      <c r="Z75" s="5">
        <f t="shared" si="59"/>
        <v>-1</v>
      </c>
    </row>
    <row r="76" spans="1:26" s="24" customFormat="1" hidden="1" outlineLevel="2" x14ac:dyDescent="0.25">
      <c r="A76" s="26"/>
      <c r="B76" s="11" t="str">
        <f>CONCATENATE("          ", "6294", " - ", "TRAVEL OPERATIONAL")</f>
        <v xml:space="preserve">          6294 - TRAVEL OPERATIONAL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/>
      <c r="Q76" s="2"/>
      <c r="R76" s="6">
        <f t="shared" si="56"/>
        <v>0</v>
      </c>
      <c r="S76" s="2"/>
      <c r="T76" s="7">
        <v>1600</v>
      </c>
      <c r="U76" s="2"/>
      <c r="V76" s="6">
        <f t="shared" si="57"/>
        <v>0</v>
      </c>
      <c r="W76" s="2"/>
      <c r="X76" s="7">
        <f t="shared" si="58"/>
        <v>-1600</v>
      </c>
      <c r="Y76" s="2"/>
      <c r="Z76" s="6">
        <f t="shared" si="59"/>
        <v>-1</v>
      </c>
    </row>
    <row r="77" spans="1:26" s="59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277</v>
      </c>
      <c r="C80" s="29"/>
      <c r="D80" s="20">
        <f>+D17-D19+D78</f>
        <v>-33993.58</v>
      </c>
      <c r="E80" s="14"/>
      <c r="F80" s="21">
        <f>IF(D$12=0,0,D80/D$12)</f>
        <v>0</v>
      </c>
      <c r="G80" s="14"/>
      <c r="H80" s="20">
        <f>+H17-H19+H78</f>
        <v>-33668.75790769227</v>
      </c>
      <c r="I80" s="14"/>
      <c r="J80" s="21">
        <f>IF(H$12=0,0,H80/H$12)</f>
        <v>0</v>
      </c>
      <c r="K80" s="16"/>
      <c r="L80" s="20">
        <f>+D80-H80</f>
        <v>-324.82209230773151</v>
      </c>
      <c r="M80" s="16"/>
      <c r="N80" s="21">
        <f>IF(H80=0,0,L80/H80)</f>
        <v>9.6475816897753659E-3</v>
      </c>
      <c r="O80" s="28"/>
      <c r="P80" s="20">
        <f>+P17-P19+P78</f>
        <v>-333115.45999999996</v>
      </c>
      <c r="Q80" s="14"/>
      <c r="R80" s="21">
        <f>IF(P$12=0,0,P80/P$12)</f>
        <v>0</v>
      </c>
      <c r="S80" s="14"/>
      <c r="T80" s="20">
        <f>+T17-T19+T78</f>
        <v>-412067.66839999997</v>
      </c>
      <c r="U80" s="14"/>
      <c r="V80" s="21">
        <f>IF(T$12=0,0,T80/T$12)</f>
        <v>0</v>
      </c>
      <c r="W80" s="16"/>
      <c r="X80" s="20">
        <f>+P80-T80</f>
        <v>78952.208400000003</v>
      </c>
      <c r="Y80" s="16"/>
      <c r="Z80" s="21">
        <f>IF(T80=0,0,X80/T80)</f>
        <v>-0.19160010467834124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126</v>
      </c>
      <c r="C84" s="29"/>
      <c r="D84" s="34">
        <f>+D80-D82</f>
        <v>-33993.58</v>
      </c>
      <c r="E84" s="14"/>
      <c r="F84" s="30">
        <f>IF(D$12=0,0,D84/D$12)</f>
        <v>0</v>
      </c>
      <c r="G84" s="14"/>
      <c r="H84" s="34">
        <f>+H80-H82</f>
        <v>-33668.75790769227</v>
      </c>
      <c r="I84" s="14"/>
      <c r="J84" s="30">
        <f>IF(H$12=0,0,H84/H$12)</f>
        <v>0</v>
      </c>
      <c r="K84" s="16"/>
      <c r="L84" s="34">
        <f>D84-H84</f>
        <v>-324.82209230773151</v>
      </c>
      <c r="M84" s="16"/>
      <c r="N84" s="30">
        <f>IF(H84=0,0,L84/H84)</f>
        <v>9.6475816897753659E-3</v>
      </c>
      <c r="O84" s="28"/>
      <c r="P84" s="34">
        <f>+P80-P82</f>
        <v>-333115.45999999996</v>
      </c>
      <c r="Q84" s="14"/>
      <c r="R84" s="30">
        <f>IF(P$12=0,0,P84/P$12)</f>
        <v>0</v>
      </c>
      <c r="S84" s="14"/>
      <c r="T84" s="34">
        <f>+T80-T82</f>
        <v>-412067.66839999997</v>
      </c>
      <c r="U84" s="14"/>
      <c r="V84" s="30">
        <f>IF(T$12=0,0,T84/T$12)</f>
        <v>0</v>
      </c>
      <c r="W84" s="16"/>
      <c r="X84" s="34">
        <f>P84-T84</f>
        <v>78952.208400000003</v>
      </c>
      <c r="Y84" s="16"/>
      <c r="Z84" s="30">
        <f>IF(T84=0,0,X84/T84)</f>
        <v>-0.19160010467834124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294</v>
      </c>
      <c r="C87" s="29"/>
      <c r="D87" s="31">
        <f>SUM(D84:D86)</f>
        <v>-33993.58</v>
      </c>
      <c r="E87" s="14"/>
      <c r="F87" s="35">
        <f>IF(D$12=0,0,D87/D$12)</f>
        <v>0</v>
      </c>
      <c r="G87" s="14"/>
      <c r="H87" s="31">
        <f>SUM(H84:H86)</f>
        <v>-33668.75790769227</v>
      </c>
      <c r="I87" s="14"/>
      <c r="J87" s="35">
        <f>IF(H$12=0,0,H87/H$12)</f>
        <v>0</v>
      </c>
      <c r="K87" s="16"/>
      <c r="L87" s="31">
        <f>+D87-H87</f>
        <v>-324.82209230773151</v>
      </c>
      <c r="M87" s="16"/>
      <c r="N87" s="35">
        <f>IF(H87=0,0,L87/H87)</f>
        <v>9.6475816897753659E-3</v>
      </c>
      <c r="O87" s="28"/>
      <c r="P87" s="31">
        <f>SUM(P84:P86)</f>
        <v>-333115.45999999996</v>
      </c>
      <c r="Q87" s="14"/>
      <c r="R87" s="35">
        <f>IF(P$12=0,0,P87/P$12)</f>
        <v>0</v>
      </c>
      <c r="S87" s="14"/>
      <c r="T87" s="31">
        <f>SUM(T84:T86)</f>
        <v>-412067.66839999997</v>
      </c>
      <c r="U87" s="14"/>
      <c r="V87" s="35">
        <f>IF(T$12=0,0,T87/T$12)</f>
        <v>0</v>
      </c>
      <c r="W87" s="16"/>
      <c r="X87" s="31">
        <f>+P87-T87</f>
        <v>78952.208400000003</v>
      </c>
      <c r="Y87" s="16"/>
      <c r="Z87" s="35">
        <f>IF(T87=0,0,X87/T87)</f>
        <v>-0.19160010467834124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44295.961797766206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3" t="s">
        <v>56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8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56260.219999999994</v>
      </c>
      <c r="E19" s="22"/>
      <c r="F19" s="32">
        <f t="shared" ref="F19:F29" si="4">IF(D$12=0,0,D19/D$12)</f>
        <v>0</v>
      </c>
      <c r="G19" s="22"/>
      <c r="H19" s="22">
        <f>SUM(OSRRefH22x_0)</f>
        <v>50690.482495384662</v>
      </c>
      <c r="I19" s="22"/>
      <c r="J19" s="32">
        <f t="shared" ref="J19:J29" si="5">IF(H$12=0,0,H19/H$12)</f>
        <v>0</v>
      </c>
      <c r="K19" s="4"/>
      <c r="L19" s="22">
        <f t="shared" ref="L19:L29" si="6">+D19-H19</f>
        <v>5569.737504615332</v>
      </c>
      <c r="M19" s="4"/>
      <c r="N19" s="32">
        <f t="shared" ref="N19:N29" si="7">IF(H19=0,0,L19/H19)</f>
        <v>0.10987738191528268</v>
      </c>
      <c r="O19" s="10"/>
      <c r="P19" s="22">
        <f>SUM(OSRRefP22x_0)</f>
        <v>377764.95000000007</v>
      </c>
      <c r="Q19" s="22"/>
      <c r="R19" s="32">
        <f t="shared" ref="R19:R29" si="8">IF(P$12=0,0,P19/P$12)</f>
        <v>0</v>
      </c>
      <c r="S19" s="22"/>
      <c r="T19" s="22">
        <f>SUM(OSRRefT22x_0)</f>
        <v>377025.79361000005</v>
      </c>
      <c r="U19" s="22"/>
      <c r="V19" s="32">
        <f t="shared" ref="V19:V29" si="9">IF(T$12=0,0,T19/T$12)</f>
        <v>0</v>
      </c>
      <c r="W19" s="4"/>
      <c r="X19" s="22">
        <f t="shared" ref="X19:X29" si="10">+P19-T19</f>
        <v>739.15639000001829</v>
      </c>
      <c r="Y19" s="4"/>
      <c r="Z19" s="32">
        <f t="shared" ref="Z19:Z29" si="11">IF(T19=0,0,X19/T19)</f>
        <v>1.9604928960499993E-3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12783.82</v>
      </c>
      <c r="E20" s="1"/>
      <c r="F20" s="5">
        <f t="shared" si="4"/>
        <v>0</v>
      </c>
      <c r="G20" s="1"/>
      <c r="H20" s="1">
        <f>SUM(OSRRefH22_0x_0)</f>
        <v>11822.667110769233</v>
      </c>
      <c r="I20" s="1"/>
      <c r="J20" s="5">
        <f t="shared" si="5"/>
        <v>0</v>
      </c>
      <c r="K20" s="1"/>
      <c r="L20" s="1">
        <f t="shared" si="6"/>
        <v>961.15288923076696</v>
      </c>
      <c r="M20" s="1"/>
      <c r="N20" s="5">
        <f t="shared" si="7"/>
        <v>8.1297466995011267E-2</v>
      </c>
      <c r="O20" s="13"/>
      <c r="P20" s="1">
        <f>SUM(OSRRefP22_0x_0)</f>
        <v>119075.63000000002</v>
      </c>
      <c r="Q20" s="1"/>
      <c r="R20" s="5">
        <f t="shared" si="8"/>
        <v>0</v>
      </c>
      <c r="S20" s="1"/>
      <c r="T20" s="1">
        <f>SUM(OSRRefT22_0x_0)</f>
        <v>109593.89361</v>
      </c>
      <c r="U20" s="1"/>
      <c r="V20" s="5">
        <f t="shared" si="9"/>
        <v>0</v>
      </c>
      <c r="W20" s="1"/>
      <c r="X20" s="1">
        <f t="shared" si="10"/>
        <v>9481.73639000002</v>
      </c>
      <c r="Y20" s="1"/>
      <c r="Z20" s="5">
        <f t="shared" si="11"/>
        <v>8.6517013655356162E-2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1630.11</v>
      </c>
      <c r="E21" s="2"/>
      <c r="F21" s="6">
        <f t="shared" si="4"/>
        <v>0</v>
      </c>
      <c r="G21" s="2"/>
      <c r="H21" s="7">
        <v>1625.37946153846</v>
      </c>
      <c r="I21" s="2"/>
      <c r="J21" s="6">
        <f t="shared" si="5"/>
        <v>0</v>
      </c>
      <c r="K21" s="2"/>
      <c r="L21" s="7">
        <f t="shared" si="6"/>
        <v>4.7305384615399362</v>
      </c>
      <c r="M21" s="2"/>
      <c r="N21" s="6">
        <f t="shared" si="7"/>
        <v>2.9104209653679088E-3</v>
      </c>
      <c r="O21" s="11"/>
      <c r="P21" s="7">
        <v>16691.75</v>
      </c>
      <c r="Q21" s="2"/>
      <c r="R21" s="6">
        <f t="shared" si="8"/>
        <v>0</v>
      </c>
      <c r="S21" s="2"/>
      <c r="T21" s="7">
        <v>15847.44975</v>
      </c>
      <c r="U21" s="2"/>
      <c r="V21" s="6">
        <f t="shared" si="9"/>
        <v>0</v>
      </c>
      <c r="W21" s="2"/>
      <c r="X21" s="7">
        <f t="shared" si="10"/>
        <v>844.30025000000023</v>
      </c>
      <c r="Y21" s="2"/>
      <c r="Z21" s="6">
        <f t="shared" si="11"/>
        <v>5.3276726749046814E-2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70.319999999999993</v>
      </c>
      <c r="E22" s="2"/>
      <c r="F22" s="6">
        <f t="shared" si="4"/>
        <v>0</v>
      </c>
      <c r="G22" s="2"/>
      <c r="H22" s="7">
        <v>73.793483076923096</v>
      </c>
      <c r="I22" s="2"/>
      <c r="J22" s="6">
        <f t="shared" si="5"/>
        <v>0</v>
      </c>
      <c r="K22" s="2"/>
      <c r="L22" s="7">
        <f t="shared" si="6"/>
        <v>-3.4734830769231024</v>
      </c>
      <c r="M22" s="2"/>
      <c r="N22" s="6">
        <f t="shared" si="7"/>
        <v>-4.7070322907814335E-2</v>
      </c>
      <c r="O22" s="11"/>
      <c r="P22" s="7">
        <v>718.21</v>
      </c>
      <c r="Q22" s="2"/>
      <c r="R22" s="6">
        <f t="shared" si="8"/>
        <v>0</v>
      </c>
      <c r="S22" s="2"/>
      <c r="T22" s="7">
        <v>713.41182000000003</v>
      </c>
      <c r="U22" s="2"/>
      <c r="V22" s="6">
        <f t="shared" si="9"/>
        <v>0</v>
      </c>
      <c r="W22" s="2"/>
      <c r="X22" s="7">
        <f t="shared" si="10"/>
        <v>4.7981800000000021</v>
      </c>
      <c r="Y22" s="2"/>
      <c r="Z22" s="6">
        <f t="shared" si="11"/>
        <v>6.7256805473169786E-3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6236.66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821.65999999999985</v>
      </c>
      <c r="M23" s="2"/>
      <c r="N23" s="6">
        <f t="shared" si="7"/>
        <v>0.1517377654662973</v>
      </c>
      <c r="O23" s="11"/>
      <c r="P23" s="7">
        <v>54151.26</v>
      </c>
      <c r="Q23" s="2"/>
      <c r="R23" s="6">
        <f t="shared" si="8"/>
        <v>0</v>
      </c>
      <c r="S23" s="2"/>
      <c r="T23" s="7">
        <v>48735</v>
      </c>
      <c r="U23" s="2"/>
      <c r="V23" s="6">
        <f t="shared" si="9"/>
        <v>0</v>
      </c>
      <c r="W23" s="2"/>
      <c r="X23" s="7">
        <f t="shared" si="10"/>
        <v>5416.260000000002</v>
      </c>
      <c r="Y23" s="2"/>
      <c r="Z23" s="6">
        <f t="shared" si="11"/>
        <v>0.11113696522006776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55.4</v>
      </c>
      <c r="E24" s="2"/>
      <c r="F24" s="6">
        <f t="shared" si="4"/>
        <v>0</v>
      </c>
      <c r="G24" s="2"/>
      <c r="H24" s="7">
        <v>58.140320000000003</v>
      </c>
      <c r="I24" s="2"/>
      <c r="J24" s="6">
        <f t="shared" si="5"/>
        <v>0</v>
      </c>
      <c r="K24" s="2"/>
      <c r="L24" s="7">
        <f t="shared" si="6"/>
        <v>-2.7403200000000041</v>
      </c>
      <c r="M24" s="2"/>
      <c r="N24" s="6">
        <f t="shared" si="7"/>
        <v>-4.713286751775711E-2</v>
      </c>
      <c r="O24" s="11"/>
      <c r="P24" s="7">
        <v>565.83000000000004</v>
      </c>
      <c r="Q24" s="2"/>
      <c r="R24" s="6">
        <f t="shared" si="8"/>
        <v>0</v>
      </c>
      <c r="S24" s="2"/>
      <c r="T24" s="7">
        <v>562.08204000000001</v>
      </c>
      <c r="U24" s="2"/>
      <c r="V24" s="6">
        <f t="shared" si="9"/>
        <v>0</v>
      </c>
      <c r="W24" s="2"/>
      <c r="X24" s="7">
        <f t="shared" si="10"/>
        <v>3.7479600000000346</v>
      </c>
      <c r="Y24" s="2"/>
      <c r="Z24" s="6">
        <f t="shared" si="11"/>
        <v>6.6679945866977616E-3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1826.5076923076899</v>
      </c>
      <c r="I25" s="2"/>
      <c r="J25" s="6">
        <f t="shared" si="5"/>
        <v>0</v>
      </c>
      <c r="K25" s="2"/>
      <c r="L25" s="7">
        <f t="shared" si="6"/>
        <v>152.25230769231007</v>
      </c>
      <c r="M25" s="2"/>
      <c r="N25" s="6">
        <f t="shared" si="7"/>
        <v>8.3357058025826228E-2</v>
      </c>
      <c r="O25" s="11"/>
      <c r="P25" s="7">
        <v>20638.91</v>
      </c>
      <c r="Q25" s="2"/>
      <c r="R25" s="6">
        <f t="shared" si="8"/>
        <v>0</v>
      </c>
      <c r="S25" s="2"/>
      <c r="T25" s="7">
        <v>17808.45</v>
      </c>
      <c r="U25" s="2"/>
      <c r="V25" s="6">
        <f t="shared" si="9"/>
        <v>0</v>
      </c>
      <c r="W25" s="2"/>
      <c r="X25" s="7">
        <f t="shared" si="10"/>
        <v>2830.4599999999991</v>
      </c>
      <c r="Y25" s="2"/>
      <c r="Z25" s="6">
        <f t="shared" si="11"/>
        <v>0.158939155288641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1606.1</v>
      </c>
      <c r="E27" s="2"/>
      <c r="F27" s="6">
        <f t="shared" si="4"/>
        <v>0</v>
      </c>
      <c r="G27" s="2"/>
      <c r="H27" s="7">
        <v>1061.9230769230801</v>
      </c>
      <c r="I27" s="2"/>
      <c r="J27" s="6">
        <f t="shared" si="5"/>
        <v>0</v>
      </c>
      <c r="K27" s="2"/>
      <c r="L27" s="7">
        <f t="shared" si="6"/>
        <v>544.17692307691982</v>
      </c>
      <c r="M27" s="2"/>
      <c r="N27" s="6">
        <f t="shared" si="7"/>
        <v>0.51244476638898495</v>
      </c>
      <c r="O27" s="11"/>
      <c r="P27" s="7">
        <v>14915.97</v>
      </c>
      <c r="Q27" s="2"/>
      <c r="R27" s="6">
        <f t="shared" si="8"/>
        <v>0</v>
      </c>
      <c r="S27" s="2"/>
      <c r="T27" s="7">
        <v>10353.75</v>
      </c>
      <c r="U27" s="2"/>
      <c r="V27" s="6">
        <f t="shared" si="9"/>
        <v>0</v>
      </c>
      <c r="W27" s="2"/>
      <c r="X27" s="7">
        <f t="shared" si="10"/>
        <v>4562.2199999999993</v>
      </c>
      <c r="Y27" s="2"/>
      <c r="Z27" s="6">
        <f t="shared" si="11"/>
        <v>0.44063455269829765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979.42</v>
      </c>
      <c r="E28" s="2"/>
      <c r="F28" s="6">
        <f t="shared" si="4"/>
        <v>0</v>
      </c>
      <c r="G28" s="2"/>
      <c r="H28" s="7">
        <v>1061.9230769230801</v>
      </c>
      <c r="I28" s="2"/>
      <c r="J28" s="6">
        <f t="shared" si="5"/>
        <v>0</v>
      </c>
      <c r="K28" s="2"/>
      <c r="L28" s="7">
        <f t="shared" si="6"/>
        <v>-82.50307692308013</v>
      </c>
      <c r="M28" s="2"/>
      <c r="N28" s="6">
        <f t="shared" si="7"/>
        <v>-7.7692140528796708E-2</v>
      </c>
      <c r="O28" s="11"/>
      <c r="P28" s="7">
        <v>9304.49</v>
      </c>
      <c r="Q28" s="2"/>
      <c r="R28" s="6">
        <f t="shared" si="8"/>
        <v>0</v>
      </c>
      <c r="S28" s="2"/>
      <c r="T28" s="7">
        <v>10353.75</v>
      </c>
      <c r="U28" s="2"/>
      <c r="V28" s="6">
        <f t="shared" si="9"/>
        <v>0</v>
      </c>
      <c r="W28" s="2"/>
      <c r="X28" s="7">
        <f t="shared" si="10"/>
        <v>-1049.2600000000002</v>
      </c>
      <c r="Y28" s="2"/>
      <c r="Z28" s="6">
        <f t="shared" si="11"/>
        <v>-0.10134106000241461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227.05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-472.95</v>
      </c>
      <c r="M29" s="2"/>
      <c r="N29" s="6">
        <f t="shared" si="7"/>
        <v>-0.6756428571428571</v>
      </c>
      <c r="O29" s="11"/>
      <c r="P29" s="7">
        <v>2089.21</v>
      </c>
      <c r="Q29" s="2"/>
      <c r="R29" s="6">
        <f t="shared" si="8"/>
        <v>0</v>
      </c>
      <c r="S29" s="2"/>
      <c r="T29" s="7">
        <v>5220</v>
      </c>
      <c r="U29" s="2"/>
      <c r="V29" s="6">
        <f t="shared" si="9"/>
        <v>0</v>
      </c>
      <c r="W29" s="2"/>
      <c r="X29" s="7">
        <f t="shared" si="10"/>
        <v>-3130.79</v>
      </c>
      <c r="Y29" s="2"/>
      <c r="Z29" s="6">
        <f t="shared" si="11"/>
        <v>-0.59976819923371649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20049.07</v>
      </c>
      <c r="E30" s="1"/>
      <c r="F30" s="5">
        <f t="shared" ref="F30:F40" si="12">IF(D$12=0,0,D30/D$12)</f>
        <v>0</v>
      </c>
      <c r="G30" s="1"/>
      <c r="H30" s="1">
        <f>SUM(OSRRefH22_1x_0)</f>
        <v>20237.815384615431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-188.74538461543125</v>
      </c>
      <c r="M30" s="1"/>
      <c r="N30" s="5">
        <f t="shared" ref="N30:N40" si="15">IF(H30=0,0,L30/H30)</f>
        <v>-9.3263714995104382E-3</v>
      </c>
      <c r="O30" s="13"/>
      <c r="P30" s="1">
        <f>SUM(OSRRefP22_1x_0)</f>
        <v>191762.38</v>
      </c>
      <c r="Q30" s="1"/>
      <c r="R30" s="5">
        <f t="shared" ref="R30:R40" si="16">IF(P$12=0,0,P30/P$12)</f>
        <v>0</v>
      </c>
      <c r="S30" s="1"/>
      <c r="T30" s="1">
        <f>SUM(OSRRefT22_1x_0)</f>
        <v>195477.9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-3715.5199999999895</v>
      </c>
      <c r="Y30" s="1"/>
      <c r="Z30" s="5">
        <f t="shared" ref="Z30:Z40" si="19">IF(T30=0,0,X30/T30)</f>
        <v>-1.9007366050075174E-2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5420.7692307692296</v>
      </c>
      <c r="I31" s="2"/>
      <c r="J31" s="6">
        <f t="shared" si="13"/>
        <v>0</v>
      </c>
      <c r="K31" s="2"/>
      <c r="L31" s="7">
        <f t="shared" si="14"/>
        <v>-5420.7692307692296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52852.5</v>
      </c>
      <c r="U31" s="2"/>
      <c r="V31" s="6">
        <f t="shared" si="17"/>
        <v>0</v>
      </c>
      <c r="W31" s="2"/>
      <c r="X31" s="7">
        <f t="shared" si="18"/>
        <v>-52852.5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20049.07</v>
      </c>
      <c r="E32" s="2"/>
      <c r="F32" s="6">
        <f t="shared" si="12"/>
        <v>0</v>
      </c>
      <c r="G32" s="2"/>
      <c r="H32" s="7">
        <v>13693.8461538462</v>
      </c>
      <c r="I32" s="2"/>
      <c r="J32" s="6">
        <f t="shared" si="13"/>
        <v>0</v>
      </c>
      <c r="K32" s="2"/>
      <c r="L32" s="7">
        <f t="shared" si="14"/>
        <v>6355.2238461538</v>
      </c>
      <c r="M32" s="2"/>
      <c r="N32" s="6">
        <f t="shared" si="15"/>
        <v>0.46409341647005464</v>
      </c>
      <c r="O32" s="11"/>
      <c r="P32" s="7">
        <v>191380.62</v>
      </c>
      <c r="Q32" s="2"/>
      <c r="R32" s="6">
        <f t="shared" si="16"/>
        <v>0</v>
      </c>
      <c r="S32" s="2"/>
      <c r="T32" s="7">
        <v>133515</v>
      </c>
      <c r="U32" s="2"/>
      <c r="V32" s="6">
        <f t="shared" si="17"/>
        <v>0</v>
      </c>
      <c r="W32" s="2"/>
      <c r="X32" s="7">
        <f t="shared" si="18"/>
        <v>57865.619999999995</v>
      </c>
      <c r="Y32" s="2"/>
      <c r="Z32" s="6">
        <f t="shared" si="19"/>
        <v>0.43340164026513872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1123.2</v>
      </c>
      <c r="I38" s="2"/>
      <c r="J38" s="6">
        <f t="shared" si="13"/>
        <v>0</v>
      </c>
      <c r="K38" s="2"/>
      <c r="L38" s="7">
        <f t="shared" si="14"/>
        <v>-1123.2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9110.4</v>
      </c>
      <c r="U38" s="2"/>
      <c r="V38" s="6">
        <f t="shared" si="17"/>
        <v>0</v>
      </c>
      <c r="W38" s="2"/>
      <c r="X38" s="7">
        <f t="shared" si="18"/>
        <v>-9110.4</v>
      </c>
      <c r="Y38" s="2"/>
      <c r="Z38" s="6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5" customFormat="1" outlineLevel="1" collapsed="1" x14ac:dyDescent="0.25">
      <c r="A41" s="27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3"/>
      <c r="P41" s="1">
        <f>SUM(OSRRefP22_2x_0)</f>
        <v>14029.92</v>
      </c>
      <c r="Q41" s="1"/>
      <c r="R41" s="5">
        <f t="shared" ref="R41:R47" si="24">IF(P$12=0,0,P41/P$12)</f>
        <v>0</v>
      </c>
      <c r="S41" s="1"/>
      <c r="T41" s="1">
        <f>SUM(OSRRefT22_2x_0)</f>
        <v>14031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-1.0799999999999272</v>
      </c>
      <c r="Y41" s="1"/>
      <c r="Z41" s="5">
        <f t="shared" ref="Z41:Z47" si="27">IF(T41=0,0,X41/T41)</f>
        <v>-7.6972418216800459E-5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14029.92</v>
      </c>
      <c r="Q42" s="2"/>
      <c r="R42" s="6">
        <f t="shared" si="24"/>
        <v>0</v>
      </c>
      <c r="S42" s="2"/>
      <c r="T42" s="7">
        <v>14031</v>
      </c>
      <c r="U42" s="2"/>
      <c r="V42" s="6">
        <f t="shared" si="25"/>
        <v>0</v>
      </c>
      <c r="W42" s="2"/>
      <c r="X42" s="7">
        <f t="shared" si="26"/>
        <v>-1.0799999999999272</v>
      </c>
      <c r="Y42" s="2"/>
      <c r="Z42" s="6">
        <f t="shared" si="27"/>
        <v>-7.6972418216800459E-5</v>
      </c>
    </row>
    <row r="43" spans="1:26" s="25" customFormat="1" outlineLevel="1" collapsed="1" x14ac:dyDescent="0.25">
      <c r="A43" s="27"/>
      <c r="B43" s="13" t="str">
        <f>CONCATENATE("     ","Equipment Rental                                  ")</f>
        <v xml:space="preserve">     Equipment Rental                                  </v>
      </c>
      <c r="C43" s="13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3"/>
      <c r="P43" s="1">
        <f>SUM(OSRRefP22_3x_0)</f>
        <v>821.34</v>
      </c>
      <c r="Q43" s="1"/>
      <c r="R43" s="5">
        <f t="shared" si="24"/>
        <v>0</v>
      </c>
      <c r="S43" s="1"/>
      <c r="T43" s="1">
        <f>SUM(OSRRefT22_3x_0)</f>
        <v>819</v>
      </c>
      <c r="U43" s="1"/>
      <c r="V43" s="5">
        <f t="shared" si="25"/>
        <v>0</v>
      </c>
      <c r="W43" s="1"/>
      <c r="X43" s="1">
        <f t="shared" si="26"/>
        <v>2.3400000000000318</v>
      </c>
      <c r="Y43" s="1"/>
      <c r="Z43" s="5">
        <f t="shared" si="27"/>
        <v>2.8571428571428962E-3</v>
      </c>
    </row>
    <row r="44" spans="1:26" s="24" customFormat="1" hidden="1" outlineLevel="2" x14ac:dyDescent="0.25">
      <c r="A44" s="26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821.34</v>
      </c>
      <c r="Q44" s="2"/>
      <c r="R44" s="6">
        <f t="shared" si="24"/>
        <v>0</v>
      </c>
      <c r="S44" s="2"/>
      <c r="T44" s="7">
        <v>819</v>
      </c>
      <c r="U44" s="2"/>
      <c r="V44" s="6">
        <f t="shared" si="25"/>
        <v>0</v>
      </c>
      <c r="W44" s="2"/>
      <c r="X44" s="7">
        <f t="shared" si="26"/>
        <v>2.3400000000000318</v>
      </c>
      <c r="Y44" s="2"/>
      <c r="Z44" s="6">
        <f t="shared" si="27"/>
        <v>2.8571428571428962E-3</v>
      </c>
    </row>
    <row r="45" spans="1:26" s="25" customFormat="1" outlineLevel="1" collapsed="1" x14ac:dyDescent="0.25">
      <c r="A45" s="27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80.069999999999993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-19.930000000000007</v>
      </c>
      <c r="M45" s="1"/>
      <c r="N45" s="5">
        <f t="shared" si="23"/>
        <v>-0.19930000000000006</v>
      </c>
      <c r="O45" s="13"/>
      <c r="P45" s="1">
        <f>SUM(OSRRefP22_4x_0)</f>
        <v>815.04</v>
      </c>
      <c r="Q45" s="1"/>
      <c r="R45" s="5">
        <f t="shared" si="24"/>
        <v>0</v>
      </c>
      <c r="S45" s="1"/>
      <c r="T45" s="1">
        <f>SUM(OSRRefT22_4x_0)</f>
        <v>900</v>
      </c>
      <c r="U45" s="1"/>
      <c r="V45" s="5">
        <f t="shared" si="25"/>
        <v>0</v>
      </c>
      <c r="W45" s="1"/>
      <c r="X45" s="1">
        <f t="shared" si="26"/>
        <v>-84.960000000000036</v>
      </c>
      <c r="Y45" s="1"/>
      <c r="Z45" s="5">
        <f t="shared" si="27"/>
        <v>-9.4400000000000039E-2</v>
      </c>
    </row>
    <row r="46" spans="1:26" s="24" customFormat="1" hidden="1" outlineLevel="2" x14ac:dyDescent="0.25">
      <c r="A46" s="26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>
        <v>80.069999999999993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-19.930000000000007</v>
      </c>
      <c r="M47" s="2"/>
      <c r="N47" s="6">
        <f t="shared" si="23"/>
        <v>-0.19930000000000006</v>
      </c>
      <c r="O47" s="11"/>
      <c r="P47" s="7">
        <v>809.63</v>
      </c>
      <c r="Q47" s="2"/>
      <c r="R47" s="6">
        <f t="shared" si="24"/>
        <v>0</v>
      </c>
      <c r="S47" s="2"/>
      <c r="T47" s="7">
        <v>900</v>
      </c>
      <c r="U47" s="2"/>
      <c r="V47" s="6">
        <f t="shared" si="25"/>
        <v>0</v>
      </c>
      <c r="W47" s="2"/>
      <c r="X47" s="7">
        <f t="shared" si="26"/>
        <v>-90.37</v>
      </c>
      <c r="Y47" s="2"/>
      <c r="Z47" s="6">
        <f t="shared" si="27"/>
        <v>-0.10041111111111112</v>
      </c>
    </row>
    <row r="48" spans="1:26" s="25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SUM(OSRRefD22_5x_0)</f>
        <v>132.16999999999999</v>
      </c>
      <c r="E48" s="1"/>
      <c r="F48" s="5">
        <f t="shared" ref="F48:F55" si="28">IF(D$12=0,0,D48/D$12)</f>
        <v>0</v>
      </c>
      <c r="G48" s="1"/>
      <c r="H48" s="1">
        <f>SUM(OSRRefH22_5x_0)</f>
        <v>145</v>
      </c>
      <c r="I48" s="1"/>
      <c r="J48" s="5">
        <f t="shared" ref="J48:J55" si="29">IF(H$12=0,0,H48/H$12)</f>
        <v>0</v>
      </c>
      <c r="K48" s="1"/>
      <c r="L48" s="1">
        <f t="shared" ref="L48:L55" si="30">+D48-H48</f>
        <v>-12.830000000000013</v>
      </c>
      <c r="M48" s="1"/>
      <c r="N48" s="5">
        <f t="shared" ref="N48:N55" si="31">IF(H48=0,0,L48/H48)</f>
        <v>-8.8482758620689744E-2</v>
      </c>
      <c r="O48" s="13"/>
      <c r="P48" s="1">
        <f>SUM(OSRRefP22_5x_0)</f>
        <v>1189.53</v>
      </c>
      <c r="Q48" s="1"/>
      <c r="R48" s="5">
        <f t="shared" ref="R48:R55" si="32">IF(P$12=0,0,P48/P$12)</f>
        <v>0</v>
      </c>
      <c r="S48" s="1"/>
      <c r="T48" s="1">
        <f>SUM(OSRRefT22_5x_0)</f>
        <v>1305</v>
      </c>
      <c r="U48" s="1"/>
      <c r="V48" s="5">
        <f t="shared" ref="V48:V55" si="33">IF(T$12=0,0,T48/T$12)</f>
        <v>0</v>
      </c>
      <c r="W48" s="1"/>
      <c r="X48" s="1">
        <f t="shared" ref="X48:X55" si="34">+P48-T48</f>
        <v>-115.47000000000003</v>
      </c>
      <c r="Y48" s="1"/>
      <c r="Z48" s="5">
        <f t="shared" ref="Z48:Z55" si="35">IF(T48=0,0,X48/T48)</f>
        <v>-8.8482758620689675E-2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1189.53</v>
      </c>
      <c r="Q49" s="2"/>
      <c r="R49" s="6">
        <f t="shared" si="32"/>
        <v>0</v>
      </c>
      <c r="S49" s="2"/>
      <c r="T49" s="7">
        <v>1305</v>
      </c>
      <c r="U49" s="2"/>
      <c r="V49" s="6">
        <f t="shared" si="33"/>
        <v>0</v>
      </c>
      <c r="W49" s="2"/>
      <c r="X49" s="7">
        <f t="shared" si="34"/>
        <v>-115.47000000000003</v>
      </c>
      <c r="Y49" s="2"/>
      <c r="Z49" s="6">
        <f t="shared" si="35"/>
        <v>-8.8482758620689675E-2</v>
      </c>
    </row>
    <row r="50" spans="1:26" s="25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2250</v>
      </c>
      <c r="U50" s="1"/>
      <c r="V50" s="5">
        <f t="shared" si="33"/>
        <v>0</v>
      </c>
      <c r="W50" s="1"/>
      <c r="X50" s="1">
        <f t="shared" si="34"/>
        <v>-2250</v>
      </c>
      <c r="Y50" s="1"/>
      <c r="Z50" s="5">
        <f t="shared" si="35"/>
        <v>-1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2250</v>
      </c>
      <c r="U51" s="2"/>
      <c r="V51" s="6">
        <f t="shared" si="33"/>
        <v>0</v>
      </c>
      <c r="W51" s="2"/>
      <c r="X51" s="7">
        <f t="shared" si="34"/>
        <v>-2250</v>
      </c>
      <c r="Y51" s="2"/>
      <c r="Z51" s="6">
        <f t="shared" si="35"/>
        <v>-1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19959.13</v>
      </c>
      <c r="E52" s="1"/>
      <c r="F52" s="5">
        <f t="shared" si="28"/>
        <v>0</v>
      </c>
      <c r="G52" s="1"/>
      <c r="H52" s="1">
        <f>SUM(OSRRefH22_7x_0)</f>
        <v>15160</v>
      </c>
      <c r="I52" s="1"/>
      <c r="J52" s="5">
        <f t="shared" si="29"/>
        <v>0</v>
      </c>
      <c r="K52" s="1"/>
      <c r="L52" s="1">
        <f t="shared" si="30"/>
        <v>4799.130000000001</v>
      </c>
      <c r="M52" s="1"/>
      <c r="N52" s="5">
        <f t="shared" si="31"/>
        <v>0.31656530343007921</v>
      </c>
      <c r="O52" s="13"/>
      <c r="P52" s="1">
        <f>SUM(OSRRefP22_7x_0)</f>
        <v>37036.1</v>
      </c>
      <c r="Q52" s="1"/>
      <c r="R52" s="5">
        <f t="shared" si="32"/>
        <v>0</v>
      </c>
      <c r="S52" s="1"/>
      <c r="T52" s="1">
        <f>SUM(OSRRefT22_7x_0)</f>
        <v>31390</v>
      </c>
      <c r="U52" s="1"/>
      <c r="V52" s="5">
        <f t="shared" si="33"/>
        <v>0</v>
      </c>
      <c r="W52" s="1"/>
      <c r="X52" s="1">
        <f t="shared" si="34"/>
        <v>5646.0999999999985</v>
      </c>
      <c r="Y52" s="1"/>
      <c r="Z52" s="5">
        <f t="shared" si="35"/>
        <v>0.17986938515450776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19951.75</v>
      </c>
      <c r="E53" s="2"/>
      <c r="F53" s="6">
        <f t="shared" si="28"/>
        <v>0</v>
      </c>
      <c r="G53" s="2"/>
      <c r="H53" s="7">
        <v>15160</v>
      </c>
      <c r="I53" s="2"/>
      <c r="J53" s="6">
        <f t="shared" si="29"/>
        <v>0</v>
      </c>
      <c r="K53" s="2"/>
      <c r="L53" s="7">
        <f t="shared" si="30"/>
        <v>4791.75</v>
      </c>
      <c r="M53" s="2"/>
      <c r="N53" s="6">
        <f t="shared" si="31"/>
        <v>0.31607849604221638</v>
      </c>
      <c r="O53" s="11"/>
      <c r="P53" s="7">
        <v>32233.47</v>
      </c>
      <c r="Q53" s="2"/>
      <c r="R53" s="6">
        <f t="shared" si="32"/>
        <v>0</v>
      </c>
      <c r="S53" s="2"/>
      <c r="T53" s="7">
        <v>26940</v>
      </c>
      <c r="U53" s="2"/>
      <c r="V53" s="6">
        <f t="shared" si="33"/>
        <v>0</v>
      </c>
      <c r="W53" s="2"/>
      <c r="X53" s="7">
        <f t="shared" si="34"/>
        <v>5293.4700000000012</v>
      </c>
      <c r="Y53" s="2"/>
      <c r="Z53" s="6">
        <f t="shared" si="35"/>
        <v>0.19649109131403122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7">
        <v>7.38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7.38</v>
      </c>
      <c r="M54" s="2"/>
      <c r="N54" s="6">
        <f t="shared" si="31"/>
        <v>0</v>
      </c>
      <c r="O54" s="11"/>
      <c r="P54" s="7">
        <v>4675.6099999999997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225.60999999999967</v>
      </c>
      <c r="Y54" s="2"/>
      <c r="Z54" s="6">
        <f t="shared" si="35"/>
        <v>5.069887640449431E-2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127.02</v>
      </c>
      <c r="Q55" s="2"/>
      <c r="R55" s="6">
        <f t="shared" si="32"/>
        <v>0</v>
      </c>
      <c r="S55" s="2"/>
      <c r="T55" s="7"/>
      <c r="U55" s="2"/>
      <c r="V55" s="6">
        <f t="shared" si="33"/>
        <v>0</v>
      </c>
      <c r="W55" s="2"/>
      <c r="X55" s="7">
        <f t="shared" si="34"/>
        <v>127.02</v>
      </c>
      <c r="Y55" s="2"/>
      <c r="Z55" s="6">
        <f t="shared" si="35"/>
        <v>0</v>
      </c>
    </row>
    <row r="56" spans="1:26" s="25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SUM(OSRRefD22_8x_0)</f>
        <v>1251.32</v>
      </c>
      <c r="E56" s="1"/>
      <c r="F56" s="5">
        <f t="shared" ref="F56:F61" si="36">IF(D$12=0,0,D56/D$12)</f>
        <v>0</v>
      </c>
      <c r="G56" s="1"/>
      <c r="H56" s="1">
        <f>SUM(OSRRefH22_8x_0)</f>
        <v>500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751.31999999999994</v>
      </c>
      <c r="M56" s="1"/>
      <c r="N56" s="5">
        <f t="shared" ref="N56:N61" si="39">IF(H56=0,0,L56/H56)</f>
        <v>1.50264</v>
      </c>
      <c r="O56" s="13"/>
      <c r="P56" s="1">
        <f>SUM(OSRRefP22_8x_0)</f>
        <v>5580.34</v>
      </c>
      <c r="Q56" s="1"/>
      <c r="R56" s="5">
        <f t="shared" ref="R56:R61" si="40">IF(P$12=0,0,P56/P$12)</f>
        <v>0</v>
      </c>
      <c r="S56" s="1"/>
      <c r="T56" s="1">
        <f>SUM(OSRRefT22_8x_0)</f>
        <v>4500</v>
      </c>
      <c r="U56" s="1"/>
      <c r="V56" s="5">
        <f t="shared" ref="V56:V61" si="41">IF(T$12=0,0,T56/T$12)</f>
        <v>0</v>
      </c>
      <c r="W56" s="1"/>
      <c r="X56" s="1">
        <f t="shared" ref="X56:X61" si="42">+P56-T56</f>
        <v>1080.3400000000001</v>
      </c>
      <c r="Y56" s="1"/>
      <c r="Z56" s="5">
        <f t="shared" ref="Z56:Z61" si="43">IF(T56=0,0,X56/T56)</f>
        <v>0.2400755555555556</v>
      </c>
    </row>
    <row r="57" spans="1:26" s="24" customFormat="1" hidden="1" outlineLevel="2" x14ac:dyDescent="0.25">
      <c r="A57" s="26"/>
      <c r="B57" s="11" t="str">
        <f>CONCATENATE("          ", "6281", " - ", "STORAGE FEE")</f>
        <v xml:space="preserve">          6281 - STORAGE FEE</v>
      </c>
      <c r="C57" s="11"/>
      <c r="D57" s="7">
        <v>1251.32</v>
      </c>
      <c r="E57" s="2"/>
      <c r="F57" s="6">
        <f t="shared" si="36"/>
        <v>0</v>
      </c>
      <c r="G57" s="2"/>
      <c r="H57" s="7">
        <v>500</v>
      </c>
      <c r="I57" s="2"/>
      <c r="J57" s="6">
        <f t="shared" si="37"/>
        <v>0</v>
      </c>
      <c r="K57" s="2"/>
      <c r="L57" s="7">
        <f t="shared" si="38"/>
        <v>751.31999999999994</v>
      </c>
      <c r="M57" s="2"/>
      <c r="N57" s="6">
        <f t="shared" si="39"/>
        <v>1.50264</v>
      </c>
      <c r="O57" s="11"/>
      <c r="P57" s="7">
        <v>5580.34</v>
      </c>
      <c r="Q57" s="2"/>
      <c r="R57" s="6">
        <f t="shared" si="40"/>
        <v>0</v>
      </c>
      <c r="S57" s="2"/>
      <c r="T57" s="7">
        <v>4500</v>
      </c>
      <c r="U57" s="2"/>
      <c r="V57" s="6">
        <f t="shared" si="41"/>
        <v>0</v>
      </c>
      <c r="W57" s="2"/>
      <c r="X57" s="7">
        <f t="shared" si="42"/>
        <v>1080.3400000000001</v>
      </c>
      <c r="Y57" s="2"/>
      <c r="Z57" s="6">
        <f t="shared" si="43"/>
        <v>0.2400755555555556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1</v>
      </c>
      <c r="E58" s="1"/>
      <c r="F58" s="5">
        <f t="shared" si="36"/>
        <v>0</v>
      </c>
      <c r="G58" s="1"/>
      <c r="H58" s="1">
        <f>SUM(OSRRefH22_9x_0)</f>
        <v>200</v>
      </c>
      <c r="I58" s="1"/>
      <c r="J58" s="5">
        <f t="shared" si="37"/>
        <v>0</v>
      </c>
      <c r="K58" s="1"/>
      <c r="L58" s="1">
        <f t="shared" si="38"/>
        <v>-199</v>
      </c>
      <c r="M58" s="1"/>
      <c r="N58" s="5">
        <f t="shared" si="39"/>
        <v>-0.995</v>
      </c>
      <c r="O58" s="13"/>
      <c r="P58" s="1">
        <f>SUM(OSRRefP22_9x_0)</f>
        <v>2024.97</v>
      </c>
      <c r="Q58" s="1"/>
      <c r="R58" s="5">
        <f t="shared" si="40"/>
        <v>0</v>
      </c>
      <c r="S58" s="1"/>
      <c r="T58" s="1">
        <f>SUM(OSRRefT22_9x_0)</f>
        <v>11384</v>
      </c>
      <c r="U58" s="1"/>
      <c r="V58" s="5">
        <f t="shared" si="41"/>
        <v>0</v>
      </c>
      <c r="W58" s="1"/>
      <c r="X58" s="1">
        <f t="shared" si="42"/>
        <v>-9359.0300000000007</v>
      </c>
      <c r="Y58" s="1"/>
      <c r="Z58" s="5">
        <f t="shared" si="43"/>
        <v>-0.82212139845397059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9584</v>
      </c>
      <c r="U59" s="2"/>
      <c r="V59" s="6">
        <f t="shared" si="41"/>
        <v>0</v>
      </c>
      <c r="W59" s="2"/>
      <c r="X59" s="7">
        <f t="shared" si="42"/>
        <v>-9584</v>
      </c>
      <c r="Y59" s="2"/>
      <c r="Z59" s="6">
        <f t="shared" si="43"/>
        <v>-1</v>
      </c>
    </row>
    <row r="60" spans="1:26" s="24" customFormat="1" hidden="1" outlineLevel="2" x14ac:dyDescent="0.25">
      <c r="A60" s="26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426.66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426.66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1</v>
      </c>
      <c r="E61" s="2"/>
      <c r="F61" s="6">
        <f t="shared" si="36"/>
        <v>0</v>
      </c>
      <c r="G61" s="2"/>
      <c r="H61" s="7">
        <v>200</v>
      </c>
      <c r="I61" s="2"/>
      <c r="J61" s="6">
        <f t="shared" si="37"/>
        <v>0</v>
      </c>
      <c r="K61" s="2"/>
      <c r="L61" s="7">
        <f t="shared" si="38"/>
        <v>-199</v>
      </c>
      <c r="M61" s="2"/>
      <c r="N61" s="6">
        <f t="shared" si="39"/>
        <v>-0.995</v>
      </c>
      <c r="O61" s="11"/>
      <c r="P61" s="7">
        <v>1598.31</v>
      </c>
      <c r="Q61" s="2"/>
      <c r="R61" s="6">
        <f t="shared" si="40"/>
        <v>0</v>
      </c>
      <c r="S61" s="2"/>
      <c r="T61" s="7">
        <v>1800</v>
      </c>
      <c r="U61" s="2"/>
      <c r="V61" s="6">
        <f t="shared" si="41"/>
        <v>0</v>
      </c>
      <c r="W61" s="2"/>
      <c r="X61" s="7">
        <f t="shared" si="42"/>
        <v>-201.69000000000005</v>
      </c>
      <c r="Y61" s="2"/>
      <c r="Z61" s="6">
        <f t="shared" si="43"/>
        <v>-0.11205000000000002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345.9</v>
      </c>
      <c r="E62" s="1"/>
      <c r="F62" s="5">
        <f t="shared" ref="F62:F67" si="44">IF(D$12=0,0,D62/D$12)</f>
        <v>0</v>
      </c>
      <c r="G62" s="1"/>
      <c r="H62" s="1">
        <f>SUM(OSRRefH22_10x_0)</f>
        <v>375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-29.100000000000023</v>
      </c>
      <c r="M62" s="1"/>
      <c r="N62" s="5">
        <f t="shared" ref="N62:N67" si="47">IF(H62=0,0,L62/H62)</f>
        <v>-7.7600000000000058E-2</v>
      </c>
      <c r="O62" s="13"/>
      <c r="P62" s="1">
        <f>SUM(OSRRefP22_10x_0)</f>
        <v>4806.28</v>
      </c>
      <c r="Q62" s="1"/>
      <c r="R62" s="5">
        <f t="shared" ref="R62:R67" si="48">IF(P$12=0,0,P62/P$12)</f>
        <v>0</v>
      </c>
      <c r="S62" s="1"/>
      <c r="T62" s="1">
        <f>SUM(OSRRefT22_10x_0)</f>
        <v>3375</v>
      </c>
      <c r="U62" s="1"/>
      <c r="V62" s="5">
        <f t="shared" ref="V62:V67" si="49">IF(T$12=0,0,T62/T$12)</f>
        <v>0</v>
      </c>
      <c r="W62" s="1"/>
      <c r="X62" s="1">
        <f t="shared" ref="X62:X67" si="50">+P62-T62</f>
        <v>1431.2799999999997</v>
      </c>
      <c r="Y62" s="1"/>
      <c r="Z62" s="5">
        <f t="shared" ref="Z62:Z67" si="51">IF(T62=0,0,X62/T62)</f>
        <v>0.42408296296296288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345.9</v>
      </c>
      <c r="E63" s="2"/>
      <c r="F63" s="6">
        <f t="shared" si="44"/>
        <v>0</v>
      </c>
      <c r="G63" s="2"/>
      <c r="H63" s="7">
        <v>375</v>
      </c>
      <c r="I63" s="2"/>
      <c r="J63" s="6">
        <f t="shared" si="45"/>
        <v>0</v>
      </c>
      <c r="K63" s="2"/>
      <c r="L63" s="7">
        <f t="shared" si="46"/>
        <v>-29.100000000000023</v>
      </c>
      <c r="M63" s="2"/>
      <c r="N63" s="6">
        <f t="shared" si="47"/>
        <v>-7.7600000000000058E-2</v>
      </c>
      <c r="O63" s="11"/>
      <c r="P63" s="7">
        <v>4806.28</v>
      </c>
      <c r="Q63" s="2"/>
      <c r="R63" s="6">
        <f t="shared" si="48"/>
        <v>0</v>
      </c>
      <c r="S63" s="2"/>
      <c r="T63" s="7">
        <v>3375</v>
      </c>
      <c r="U63" s="2"/>
      <c r="V63" s="6">
        <f t="shared" si="49"/>
        <v>0</v>
      </c>
      <c r="W63" s="2"/>
      <c r="X63" s="7">
        <f t="shared" si="50"/>
        <v>1431.2799999999997</v>
      </c>
      <c r="Y63" s="2"/>
      <c r="Z63" s="6">
        <f t="shared" si="51"/>
        <v>0.42408296296296288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si="44"/>
        <v>0</v>
      </c>
      <c r="G64" s="1"/>
      <c r="H64" s="1">
        <f>SUM(OSRRefH22_11x_0)</f>
        <v>250</v>
      </c>
      <c r="I64" s="1"/>
      <c r="J64" s="5">
        <f t="shared" si="45"/>
        <v>0</v>
      </c>
      <c r="K64" s="1"/>
      <c r="L64" s="1">
        <f t="shared" si="46"/>
        <v>-250</v>
      </c>
      <c r="M64" s="1"/>
      <c r="N64" s="5">
        <f t="shared" si="47"/>
        <v>-1</v>
      </c>
      <c r="O64" s="13"/>
      <c r="P64" s="1">
        <f>SUM(OSRRefP22_11x_0)</f>
        <v>548</v>
      </c>
      <c r="Q64" s="1"/>
      <c r="R64" s="5">
        <f t="shared" si="48"/>
        <v>0</v>
      </c>
      <c r="S64" s="1"/>
      <c r="T64" s="1">
        <f>SUM(OSRRefT22_11x_0)</f>
        <v>2000</v>
      </c>
      <c r="U64" s="1"/>
      <c r="V64" s="5">
        <f t="shared" si="49"/>
        <v>0</v>
      </c>
      <c r="W64" s="1"/>
      <c r="X64" s="1">
        <f t="shared" si="50"/>
        <v>-1452</v>
      </c>
      <c r="Y64" s="1"/>
      <c r="Z64" s="5">
        <f t="shared" si="51"/>
        <v>-0.72599999999999998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-250</v>
      </c>
      <c r="M65" s="2"/>
      <c r="N65" s="6">
        <f t="shared" si="47"/>
        <v>-1</v>
      </c>
      <c r="O65" s="11"/>
      <c r="P65" s="7">
        <v>548</v>
      </c>
      <c r="Q65" s="2"/>
      <c r="R65" s="6">
        <f t="shared" si="48"/>
        <v>0</v>
      </c>
      <c r="S65" s="2"/>
      <c r="T65" s="7">
        <v>2000</v>
      </c>
      <c r="U65" s="2"/>
      <c r="V65" s="6">
        <f t="shared" si="49"/>
        <v>0</v>
      </c>
      <c r="W65" s="2"/>
      <c r="X65" s="7">
        <f t="shared" si="50"/>
        <v>-1452</v>
      </c>
      <c r="Y65" s="2"/>
      <c r="Z65" s="6">
        <f t="shared" si="51"/>
        <v>-0.72599999999999998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7.6</v>
      </c>
      <c r="E66" s="1"/>
      <c r="F66" s="5">
        <f t="shared" si="44"/>
        <v>0</v>
      </c>
      <c r="G66" s="1"/>
      <c r="H66" s="1">
        <f>SUM(OSRRefH22_12x_0)</f>
        <v>0</v>
      </c>
      <c r="I66" s="1"/>
      <c r="J66" s="5">
        <f t="shared" si="45"/>
        <v>0</v>
      </c>
      <c r="K66" s="1"/>
      <c r="L66" s="1">
        <f t="shared" si="46"/>
        <v>7.6</v>
      </c>
      <c r="M66" s="1"/>
      <c r="N66" s="5">
        <f t="shared" si="47"/>
        <v>0</v>
      </c>
      <c r="O66" s="13"/>
      <c r="P66" s="1">
        <f>SUM(OSRRefP22_12x_0)</f>
        <v>75.42</v>
      </c>
      <c r="Q66" s="1"/>
      <c r="R66" s="5">
        <f t="shared" si="48"/>
        <v>0</v>
      </c>
      <c r="S66" s="1"/>
      <c r="T66" s="1">
        <f>SUM(OSRRefT22_12x_0)</f>
        <v>0</v>
      </c>
      <c r="U66" s="1"/>
      <c r="V66" s="5">
        <f t="shared" si="49"/>
        <v>0</v>
      </c>
      <c r="W66" s="1"/>
      <c r="X66" s="1">
        <f t="shared" si="50"/>
        <v>75.42</v>
      </c>
      <c r="Y66" s="1"/>
      <c r="Z66" s="5">
        <f t="shared" si="51"/>
        <v>0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7">
        <v>7.6</v>
      </c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7.6</v>
      </c>
      <c r="M67" s="2"/>
      <c r="N67" s="6">
        <f t="shared" si="47"/>
        <v>0</v>
      </c>
      <c r="O67" s="11"/>
      <c r="P67" s="7">
        <v>75.42</v>
      </c>
      <c r="Q67" s="2"/>
      <c r="R67" s="6">
        <f t="shared" si="48"/>
        <v>0</v>
      </c>
      <c r="S67" s="2"/>
      <c r="T67" s="7"/>
      <c r="U67" s="2"/>
      <c r="V67" s="6">
        <f t="shared" si="49"/>
        <v>0</v>
      </c>
      <c r="W67" s="2"/>
      <c r="X67" s="7">
        <f t="shared" si="50"/>
        <v>75.42</v>
      </c>
      <c r="Y67" s="2"/>
      <c r="Z67" s="6">
        <f t="shared" si="51"/>
        <v>0</v>
      </c>
    </row>
    <row r="68" spans="1:26" s="59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293</v>
      </c>
      <c r="C69" s="10"/>
      <c r="D69" s="4">
        <f>SUM(OSRRefD25x_0)</f>
        <v>0</v>
      </c>
      <c r="E69" s="4"/>
      <c r="F69" s="12">
        <f t="shared" ref="F69:F72" si="52">IF(D$12=0,0,D69/D$12)</f>
        <v>0</v>
      </c>
      <c r="G69" s="4"/>
      <c r="H69" s="4">
        <f>SUM(OSRRefH25x_0)</f>
        <v>0</v>
      </c>
      <c r="I69" s="4"/>
      <c r="J69" s="12">
        <f t="shared" ref="J69:J72" si="53">IF(H$12=0,0,H69/H$12)</f>
        <v>0</v>
      </c>
      <c r="K69" s="4"/>
      <c r="L69" s="4">
        <f t="shared" ref="L69:L72" si="54">+D69-H69</f>
        <v>0</v>
      </c>
      <c r="M69" s="4"/>
      <c r="N69" s="12">
        <f t="shared" ref="N69:N72" si="55">IF(H69=0,0,L69/H69)</f>
        <v>0</v>
      </c>
      <c r="O69" s="10"/>
      <c r="P69" s="4">
        <f>SUM(OSRRefP25x_0)</f>
        <v>0</v>
      </c>
      <c r="Q69" s="4"/>
      <c r="R69" s="12">
        <f t="shared" ref="R69:R72" si="56">IF(P$12=0,0,P69/P$12)</f>
        <v>0</v>
      </c>
      <c r="S69" s="4"/>
      <c r="T69" s="4">
        <f>SUM(OSRRefT25x_0)</f>
        <v>0</v>
      </c>
      <c r="U69" s="4"/>
      <c r="V69" s="12">
        <f t="shared" ref="V69:V72" si="57">IF(T$12=0,0,T69/T$12)</f>
        <v>0</v>
      </c>
      <c r="W69" s="4"/>
      <c r="X69" s="4">
        <f t="shared" ref="X69:X72" si="58">+P69-T69</f>
        <v>0</v>
      </c>
      <c r="Y69" s="4"/>
      <c r="Z69" s="12">
        <f t="shared" ref="Z69:Z72" si="59">IF(T69=0,0,X69/T69)</f>
        <v>0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 t="shared" ref="D70:D72" si="60">0</f>
        <v>0</v>
      </c>
      <c r="E70" s="2"/>
      <c r="F70" s="19">
        <f t="shared" si="52"/>
        <v>0</v>
      </c>
      <c r="G70" s="2"/>
      <c r="H70" s="2"/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 t="shared" ref="P70:P72" si="61">0</f>
        <v>0</v>
      </c>
      <c r="Q70" s="2"/>
      <c r="R70" s="19">
        <f t="shared" si="56"/>
        <v>0</v>
      </c>
      <c r="S70" s="2"/>
      <c r="T70" s="2">
        <v>0</v>
      </c>
      <c r="U70" s="2"/>
      <c r="V70" s="19">
        <f t="shared" si="57"/>
        <v>0</v>
      </c>
      <c r="W70" s="2"/>
      <c r="X70" s="2">
        <f t="shared" si="58"/>
        <v>0</v>
      </c>
      <c r="Y70" s="2"/>
      <c r="Z70" s="19">
        <f t="shared" si="59"/>
        <v>0</v>
      </c>
    </row>
    <row r="71" spans="1:26" s="24" customFormat="1" hidden="1" outlineLevel="1" x14ac:dyDescent="0.25">
      <c r="A71" s="44"/>
      <c r="B71" s="11" t="str">
        <f>CONCATENATE("          ", "9151", " - ", "MISC. INCOME")</f>
        <v xml:space="preserve">          9151 - MISC. INCOME</v>
      </c>
      <c r="C71" s="11"/>
      <c r="D71" s="2">
        <f t="shared" si="60"/>
        <v>0</v>
      </c>
      <c r="E71" s="2"/>
      <c r="F71" s="19">
        <f t="shared" si="52"/>
        <v>0</v>
      </c>
      <c r="G71" s="2"/>
      <c r="H71" s="2"/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 t="shared" si="61"/>
        <v>0</v>
      </c>
      <c r="Q71" s="2"/>
      <c r="R71" s="19">
        <f t="shared" si="56"/>
        <v>0</v>
      </c>
      <c r="S71" s="2"/>
      <c r="T71" s="2">
        <v>0</v>
      </c>
      <c r="U71" s="2"/>
      <c r="V71" s="19">
        <f t="shared" si="57"/>
        <v>0</v>
      </c>
      <c r="W71" s="2"/>
      <c r="X71" s="2">
        <f t="shared" si="58"/>
        <v>0</v>
      </c>
      <c r="Y71" s="2"/>
      <c r="Z71" s="19">
        <f t="shared" si="59"/>
        <v>0</v>
      </c>
    </row>
    <row r="72" spans="1:26" s="24" customFormat="1" hidden="1" outlineLevel="1" x14ac:dyDescent="0.25">
      <c r="A72" s="44"/>
      <c r="B72" s="11" t="str">
        <f>CONCATENATE("          ", "9160", " - ", "MISC. INCOME")</f>
        <v xml:space="preserve">          9160 - MISC. INCOME</v>
      </c>
      <c r="C72" s="11"/>
      <c r="D72" s="2">
        <f t="shared" si="60"/>
        <v>0</v>
      </c>
      <c r="E72" s="2"/>
      <c r="F72" s="19">
        <f t="shared" si="52"/>
        <v>0</v>
      </c>
      <c r="G72" s="2"/>
      <c r="H72" s="2"/>
      <c r="I72" s="2"/>
      <c r="J72" s="19">
        <f t="shared" si="53"/>
        <v>0</v>
      </c>
      <c r="K72" s="2"/>
      <c r="L72" s="2">
        <f t="shared" si="54"/>
        <v>0</v>
      </c>
      <c r="M72" s="2"/>
      <c r="N72" s="19">
        <f t="shared" si="55"/>
        <v>0</v>
      </c>
      <c r="O72" s="11"/>
      <c r="P72" s="2">
        <f t="shared" si="61"/>
        <v>0</v>
      </c>
      <c r="Q72" s="2"/>
      <c r="R72" s="19">
        <f t="shared" si="56"/>
        <v>0</v>
      </c>
      <c r="S72" s="2"/>
      <c r="T72" s="2">
        <v>0</v>
      </c>
      <c r="U72" s="2"/>
      <c r="V72" s="19">
        <f t="shared" si="57"/>
        <v>0</v>
      </c>
      <c r="W72" s="2"/>
      <c r="X72" s="2">
        <f t="shared" si="58"/>
        <v>0</v>
      </c>
      <c r="Y72" s="2"/>
      <c r="Z72" s="19">
        <f t="shared" si="59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277</v>
      </c>
      <c r="C74" s="29"/>
      <c r="D74" s="20">
        <f>+D17-D19+D69</f>
        <v>-56260.219999999994</v>
      </c>
      <c r="E74" s="14"/>
      <c r="F74" s="21">
        <f>IF(D$12=0,0,D74/D$12)</f>
        <v>0</v>
      </c>
      <c r="G74" s="14"/>
      <c r="H74" s="20">
        <f>+H17-H19+H69</f>
        <v>-50690.482495384662</v>
      </c>
      <c r="I74" s="14"/>
      <c r="J74" s="21">
        <f>IF(H$12=0,0,H74/H$12)</f>
        <v>0</v>
      </c>
      <c r="K74" s="16"/>
      <c r="L74" s="20">
        <f>+D74-H74</f>
        <v>-5569.737504615332</v>
      </c>
      <c r="M74" s="16"/>
      <c r="N74" s="21">
        <f>IF(H74=0,0,L74/H74)</f>
        <v>0.10987738191528268</v>
      </c>
      <c r="O74" s="28"/>
      <c r="P74" s="20">
        <f>+P17-P19+P69</f>
        <v>-377764.95000000007</v>
      </c>
      <c r="Q74" s="14"/>
      <c r="R74" s="21">
        <f>IF(P$12=0,0,P74/P$12)</f>
        <v>0</v>
      </c>
      <c r="S74" s="14"/>
      <c r="T74" s="20">
        <f>+T17-T19+T69</f>
        <v>-377025.79361000005</v>
      </c>
      <c r="U74" s="14"/>
      <c r="V74" s="21">
        <f>IF(T$12=0,0,T74/T$12)</f>
        <v>0</v>
      </c>
      <c r="W74" s="16"/>
      <c r="X74" s="20">
        <f>+P74-T74</f>
        <v>-739.15639000001829</v>
      </c>
      <c r="Y74" s="16"/>
      <c r="Z74" s="21">
        <f>IF(T74=0,0,X74/T74)</f>
        <v>1.9604928960499993E-3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126</v>
      </c>
      <c r="C78" s="29"/>
      <c r="D78" s="34">
        <f>+D74-D76</f>
        <v>-56260.219999999994</v>
      </c>
      <c r="E78" s="14"/>
      <c r="F78" s="30">
        <f>IF(D$12=0,0,D78/D$12)</f>
        <v>0</v>
      </c>
      <c r="G78" s="14"/>
      <c r="H78" s="34">
        <f>+H74-H76</f>
        <v>-50690.482495384662</v>
      </c>
      <c r="I78" s="14"/>
      <c r="J78" s="30">
        <f>IF(H$12=0,0,H78/H$12)</f>
        <v>0</v>
      </c>
      <c r="K78" s="16"/>
      <c r="L78" s="34">
        <f>D78-H78</f>
        <v>-5569.737504615332</v>
      </c>
      <c r="M78" s="16"/>
      <c r="N78" s="30">
        <f>IF(H78=0,0,L78/H78)</f>
        <v>0.10987738191528268</v>
      </c>
      <c r="O78" s="28"/>
      <c r="P78" s="34">
        <f>+P74-P76</f>
        <v>-377764.95000000007</v>
      </c>
      <c r="Q78" s="14"/>
      <c r="R78" s="30">
        <f>IF(P$12=0,0,P78/P$12)</f>
        <v>0</v>
      </c>
      <c r="S78" s="14"/>
      <c r="T78" s="34">
        <f>+T74-T76</f>
        <v>-377025.79361000005</v>
      </c>
      <c r="U78" s="14"/>
      <c r="V78" s="30">
        <f>IF(T$12=0,0,T78/T$12)</f>
        <v>0</v>
      </c>
      <c r="W78" s="16"/>
      <c r="X78" s="34">
        <f>P78-T78</f>
        <v>-739.15639000001829</v>
      </c>
      <c r="Y78" s="16"/>
      <c r="Z78" s="30">
        <f>IF(T78=0,0,X78/T78)</f>
        <v>1.9604928960499993E-3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294</v>
      </c>
      <c r="C81" s="29"/>
      <c r="D81" s="31">
        <f>SUM(D78:D80)</f>
        <v>-56260.219999999994</v>
      </c>
      <c r="E81" s="14"/>
      <c r="F81" s="35">
        <f>IF(D$12=0,0,D81/D$12)</f>
        <v>0</v>
      </c>
      <c r="G81" s="14"/>
      <c r="H81" s="31">
        <f>SUM(H78:H80)</f>
        <v>-50690.482495384662</v>
      </c>
      <c r="I81" s="14"/>
      <c r="J81" s="35">
        <f>IF(H$12=0,0,H81/H$12)</f>
        <v>0</v>
      </c>
      <c r="K81" s="16"/>
      <c r="L81" s="31">
        <f>+D81-H81</f>
        <v>-5569.737504615332</v>
      </c>
      <c r="M81" s="16"/>
      <c r="N81" s="35">
        <f>IF(H81=0,0,L81/H81)</f>
        <v>0.10987738191528268</v>
      </c>
      <c r="O81" s="28"/>
      <c r="P81" s="31">
        <f>SUM(P78:P80)</f>
        <v>-377764.95000000007</v>
      </c>
      <c r="Q81" s="14"/>
      <c r="R81" s="35">
        <f>IF(P$12=0,0,P81/P$12)</f>
        <v>0</v>
      </c>
      <c r="S81" s="14"/>
      <c r="T81" s="31">
        <f>SUM(T78:T80)</f>
        <v>-377025.79361000005</v>
      </c>
      <c r="U81" s="14"/>
      <c r="V81" s="35">
        <f>IF(T$12=0,0,T81/T$12)</f>
        <v>0</v>
      </c>
      <c r="W81" s="16"/>
      <c r="X81" s="31">
        <f>+P81-T81</f>
        <v>-739.15639000001829</v>
      </c>
      <c r="Y81" s="16"/>
      <c r="Z81" s="35">
        <f>IF(T81=0,0,X81/T81)</f>
        <v>1.9604928960499993E-3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6">
        <v>44295.961797766206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3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4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39480.030000000006</v>
      </c>
      <c r="E18" s="22"/>
      <c r="F18" s="32">
        <f t="shared" ref="F18:F29" si="0">IF(D$12=0,0,D18/D$12)</f>
        <v>0</v>
      </c>
      <c r="G18" s="22"/>
      <c r="H18" s="22">
        <f>SUM(OSRRefH22x_0)</f>
        <v>49905.525784615398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-10425.495784615392</v>
      </c>
      <c r="M18" s="4"/>
      <c r="N18" s="32">
        <f t="shared" ref="N18:N29" si="3">IF(H18=0,0,L18/H18)</f>
        <v>-0.20890463772709728</v>
      </c>
      <c r="O18" s="10"/>
      <c r="P18" s="22">
        <f>SUM(OSRRefP22x_0)</f>
        <v>406545.27</v>
      </c>
      <c r="Q18" s="22"/>
      <c r="R18" s="32">
        <f t="shared" ref="R18:R29" si="4">IF(P$12=0,0,P18/P$12)</f>
        <v>0</v>
      </c>
      <c r="S18" s="22"/>
      <c r="T18" s="22">
        <f>SUM(OSRRefT22x_0)</f>
        <v>476076.62640000007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-69531.356400000048</v>
      </c>
      <c r="Y18" s="4"/>
      <c r="Z18" s="32">
        <f t="shared" ref="Z18:Z29" si="7">IF(T18=0,0,X18/T18)</f>
        <v>-0.14605076692334762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11710.36</v>
      </c>
      <c r="E19" s="1"/>
      <c r="F19" s="5">
        <f t="shared" si="0"/>
        <v>0</v>
      </c>
      <c r="G19" s="1"/>
      <c r="H19" s="1">
        <f>SUM(OSRRefH22_0x_0)</f>
        <v>10515.895015384625</v>
      </c>
      <c r="I19" s="1"/>
      <c r="J19" s="5">
        <f t="shared" si="1"/>
        <v>0</v>
      </c>
      <c r="K19" s="1"/>
      <c r="L19" s="1">
        <f t="shared" si="2"/>
        <v>1194.4649846153752</v>
      </c>
      <c r="M19" s="1"/>
      <c r="N19" s="5">
        <f t="shared" si="3"/>
        <v>0.11358662128785876</v>
      </c>
      <c r="O19" s="13"/>
      <c r="P19" s="1">
        <f>SUM(OSRRefP22_0x_0)</f>
        <v>110280.76000000001</v>
      </c>
      <c r="Q19" s="1"/>
      <c r="R19" s="5">
        <f t="shared" si="4"/>
        <v>0</v>
      </c>
      <c r="S19" s="1"/>
      <c r="T19" s="1">
        <f>SUM(OSRRefT22_0x_0)</f>
        <v>100651.2264</v>
      </c>
      <c r="U19" s="1"/>
      <c r="V19" s="5">
        <f t="shared" si="5"/>
        <v>0</v>
      </c>
      <c r="W19" s="1"/>
      <c r="X19" s="1">
        <f t="shared" si="6"/>
        <v>9629.5336000000098</v>
      </c>
      <c r="Y19" s="1"/>
      <c r="Z19" s="5">
        <f t="shared" si="7"/>
        <v>9.567229277198365E-2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1795.46</v>
      </c>
      <c r="E20" s="2"/>
      <c r="F20" s="6">
        <f t="shared" si="0"/>
        <v>0</v>
      </c>
      <c r="G20" s="2"/>
      <c r="H20" s="7">
        <v>1518.5906769230801</v>
      </c>
      <c r="I20" s="2"/>
      <c r="J20" s="6">
        <f t="shared" si="1"/>
        <v>0</v>
      </c>
      <c r="K20" s="2"/>
      <c r="L20" s="7">
        <f t="shared" si="2"/>
        <v>276.86932307691995</v>
      </c>
      <c r="M20" s="2"/>
      <c r="N20" s="6">
        <f t="shared" si="3"/>
        <v>0.18231991496082653</v>
      </c>
      <c r="O20" s="11"/>
      <c r="P20" s="7">
        <v>18873.599999999999</v>
      </c>
      <c r="Q20" s="2"/>
      <c r="R20" s="6">
        <f t="shared" si="4"/>
        <v>0</v>
      </c>
      <c r="S20" s="2"/>
      <c r="T20" s="7">
        <v>14806.259099999999</v>
      </c>
      <c r="U20" s="2"/>
      <c r="V20" s="6">
        <f t="shared" si="5"/>
        <v>0</v>
      </c>
      <c r="W20" s="2"/>
      <c r="X20" s="7">
        <f t="shared" si="6"/>
        <v>4067.3408999999992</v>
      </c>
      <c r="Y20" s="2"/>
      <c r="Z20" s="6">
        <f t="shared" si="7"/>
        <v>0.27470415535278586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77.45</v>
      </c>
      <c r="E21" s="2"/>
      <c r="F21" s="6">
        <f t="shared" si="0"/>
        <v>0</v>
      </c>
      <c r="G21" s="2"/>
      <c r="H21" s="7">
        <v>91.129753846153903</v>
      </c>
      <c r="I21" s="2"/>
      <c r="J21" s="6">
        <f t="shared" si="1"/>
        <v>0</v>
      </c>
      <c r="K21" s="2"/>
      <c r="L21" s="7">
        <f t="shared" si="2"/>
        <v>-13.679753846153901</v>
      </c>
      <c r="M21" s="2"/>
      <c r="N21" s="6">
        <f t="shared" si="3"/>
        <v>-0.1501129243611059</v>
      </c>
      <c r="O21" s="11"/>
      <c r="P21" s="7">
        <v>821.32</v>
      </c>
      <c r="Q21" s="2"/>
      <c r="R21" s="6">
        <f t="shared" si="4"/>
        <v>0</v>
      </c>
      <c r="S21" s="2"/>
      <c r="T21" s="7">
        <v>888.51509999999905</v>
      </c>
      <c r="U21" s="2"/>
      <c r="V21" s="6">
        <f t="shared" si="5"/>
        <v>0</v>
      </c>
      <c r="W21" s="2"/>
      <c r="X21" s="7">
        <f t="shared" si="6"/>
        <v>-67.195099999999002</v>
      </c>
      <c r="Y21" s="2"/>
      <c r="Z21" s="6">
        <f t="shared" si="7"/>
        <v>-7.5626289299978208E-2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6028.29</v>
      </c>
      <c r="E22" s="2"/>
      <c r="F22" s="6">
        <f t="shared" si="0"/>
        <v>0</v>
      </c>
      <c r="G22" s="2"/>
      <c r="H22" s="7">
        <v>5635.3846153846198</v>
      </c>
      <c r="I22" s="2"/>
      <c r="J22" s="6">
        <f t="shared" si="1"/>
        <v>0</v>
      </c>
      <c r="K22" s="2"/>
      <c r="L22" s="7">
        <f t="shared" si="2"/>
        <v>392.90538461538017</v>
      </c>
      <c r="M22" s="2"/>
      <c r="N22" s="6">
        <f t="shared" si="3"/>
        <v>6.9721130221129385E-2</v>
      </c>
      <c r="O22" s="11"/>
      <c r="P22" s="7">
        <v>54634.89</v>
      </c>
      <c r="Q22" s="2"/>
      <c r="R22" s="6">
        <f t="shared" si="4"/>
        <v>0</v>
      </c>
      <c r="S22" s="2"/>
      <c r="T22" s="7">
        <v>53460</v>
      </c>
      <c r="U22" s="2"/>
      <c r="V22" s="6">
        <f t="shared" si="5"/>
        <v>0</v>
      </c>
      <c r="W22" s="2"/>
      <c r="X22" s="7">
        <f t="shared" si="6"/>
        <v>1174.8899999999994</v>
      </c>
      <c r="Y22" s="2"/>
      <c r="Z22" s="6">
        <f t="shared" si="7"/>
        <v>2.1976992143658801E-2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61.02</v>
      </c>
      <c r="E23" s="2"/>
      <c r="F23" s="6">
        <f t="shared" si="0"/>
        <v>0</v>
      </c>
      <c r="G23" s="2"/>
      <c r="H23" s="7">
        <v>71.799199999999999</v>
      </c>
      <c r="I23" s="2"/>
      <c r="J23" s="6">
        <f t="shared" si="1"/>
        <v>0</v>
      </c>
      <c r="K23" s="2"/>
      <c r="L23" s="7">
        <f t="shared" si="2"/>
        <v>-10.779199999999996</v>
      </c>
      <c r="M23" s="2"/>
      <c r="N23" s="6">
        <f t="shared" si="3"/>
        <v>-0.15012980646023905</v>
      </c>
      <c r="O23" s="11"/>
      <c r="P23" s="7">
        <v>647.1</v>
      </c>
      <c r="Q23" s="2"/>
      <c r="R23" s="6">
        <f t="shared" si="4"/>
        <v>0</v>
      </c>
      <c r="S23" s="2"/>
      <c r="T23" s="7">
        <v>700.04219999999998</v>
      </c>
      <c r="U23" s="2"/>
      <c r="V23" s="6">
        <f t="shared" si="5"/>
        <v>0</v>
      </c>
      <c r="W23" s="2"/>
      <c r="X23" s="7">
        <f t="shared" si="6"/>
        <v>-52.942199999999957</v>
      </c>
      <c r="Y23" s="2"/>
      <c r="Z23" s="6">
        <f t="shared" si="7"/>
        <v>-7.5627155048652722E-2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853.38461538461502</v>
      </c>
      <c r="I24" s="2"/>
      <c r="J24" s="6">
        <f t="shared" si="1"/>
        <v>0</v>
      </c>
      <c r="K24" s="2"/>
      <c r="L24" s="7">
        <f t="shared" si="2"/>
        <v>238.095384615385</v>
      </c>
      <c r="M24" s="2"/>
      <c r="N24" s="6">
        <f t="shared" si="3"/>
        <v>0.27900126194339342</v>
      </c>
      <c r="O24" s="11"/>
      <c r="P24" s="7">
        <v>12191.84</v>
      </c>
      <c r="Q24" s="2"/>
      <c r="R24" s="6">
        <f t="shared" si="4"/>
        <v>0</v>
      </c>
      <c r="S24" s="2"/>
      <c r="T24" s="7">
        <v>8320.5</v>
      </c>
      <c r="U24" s="2"/>
      <c r="V24" s="6">
        <f t="shared" si="5"/>
        <v>0</v>
      </c>
      <c r="W24" s="2"/>
      <c r="X24" s="7">
        <f t="shared" si="6"/>
        <v>3871.34</v>
      </c>
      <c r="Y24" s="2"/>
      <c r="Z24" s="6">
        <f t="shared" si="7"/>
        <v>0.46527732708370895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775.13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775.13</v>
      </c>
      <c r="M26" s="2"/>
      <c r="N26" s="6">
        <f t="shared" si="3"/>
        <v>0</v>
      </c>
      <c r="O26" s="11"/>
      <c r="P26" s="7">
        <v>5639.71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5639.71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973.41</v>
      </c>
      <c r="E27" s="2"/>
      <c r="F27" s="6">
        <f t="shared" si="0"/>
        <v>0</v>
      </c>
      <c r="G27" s="2"/>
      <c r="H27" s="7">
        <v>992.15384615384596</v>
      </c>
      <c r="I27" s="2"/>
      <c r="J27" s="6">
        <f t="shared" si="1"/>
        <v>0</v>
      </c>
      <c r="K27" s="2"/>
      <c r="L27" s="7">
        <f t="shared" si="2"/>
        <v>-18.743846153845993</v>
      </c>
      <c r="M27" s="2"/>
      <c r="N27" s="6">
        <f t="shared" si="3"/>
        <v>-1.8892076290897654E-2</v>
      </c>
      <c r="O27" s="11"/>
      <c r="P27" s="7">
        <v>8505.33</v>
      </c>
      <c r="Q27" s="2"/>
      <c r="R27" s="6">
        <f t="shared" si="4"/>
        <v>0</v>
      </c>
      <c r="S27" s="2"/>
      <c r="T27" s="7">
        <v>9673.5000000000091</v>
      </c>
      <c r="U27" s="2"/>
      <c r="V27" s="6">
        <f t="shared" si="5"/>
        <v>0</v>
      </c>
      <c r="W27" s="2"/>
      <c r="X27" s="7">
        <f t="shared" si="6"/>
        <v>-1168.1700000000092</v>
      </c>
      <c r="Y27" s="2"/>
      <c r="Z27" s="6">
        <f t="shared" si="7"/>
        <v>-0.1207598077221283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828.45230769230795</v>
      </c>
      <c r="I28" s="2"/>
      <c r="J28" s="6">
        <f t="shared" si="1"/>
        <v>0</v>
      </c>
      <c r="K28" s="2"/>
      <c r="L28" s="7">
        <f t="shared" si="2"/>
        <v>79.66769230769205</v>
      </c>
      <c r="M28" s="2"/>
      <c r="N28" s="6">
        <f t="shared" si="3"/>
        <v>9.6164488369415102E-2</v>
      </c>
      <c r="O28" s="11"/>
      <c r="P28" s="7">
        <v>8627.14</v>
      </c>
      <c r="Q28" s="2"/>
      <c r="R28" s="6">
        <f t="shared" si="4"/>
        <v>0</v>
      </c>
      <c r="S28" s="2"/>
      <c r="T28" s="7">
        <v>8077.4099999999899</v>
      </c>
      <c r="U28" s="2"/>
      <c r="V28" s="6">
        <f t="shared" si="5"/>
        <v>0</v>
      </c>
      <c r="W28" s="2"/>
      <c r="X28" s="7">
        <f t="shared" si="6"/>
        <v>549.73000000000957</v>
      </c>
      <c r="Y28" s="2"/>
      <c r="Z28" s="6">
        <f t="shared" si="7"/>
        <v>6.8057706616354782E-2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4725</v>
      </c>
      <c r="U29" s="2"/>
      <c r="V29" s="6">
        <f t="shared" si="5"/>
        <v>0</v>
      </c>
      <c r="W29" s="2"/>
      <c r="X29" s="7">
        <f t="shared" si="6"/>
        <v>-4385.17</v>
      </c>
      <c r="Y29" s="2"/>
      <c r="Z29" s="6">
        <f t="shared" si="7"/>
        <v>-0.92807830687830695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23617.72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-2409.9107692307662</v>
      </c>
      <c r="M30" s="1"/>
      <c r="N30" s="5">
        <f t="shared" ref="N30:N40" si="11">IF(H30=0,0,L30/H30)</f>
        <v>-9.2590477811745509E-2</v>
      </c>
      <c r="O30" s="13"/>
      <c r="P30" s="1">
        <f>SUM(OSRRefP22_1x_0)</f>
        <v>236173.8</v>
      </c>
      <c r="Q30" s="1"/>
      <c r="R30" s="5">
        <f t="shared" ref="R30:R40" si="12">IF(P$12=0,0,P30/P$12)</f>
        <v>0</v>
      </c>
      <c r="S30" s="1"/>
      <c r="T30" s="1">
        <f>SUM(OSRRefT22_1x_0)</f>
        <v>253769.40000000008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-17595.600000000093</v>
      </c>
      <c r="Y30" s="1"/>
      <c r="Z30" s="5">
        <f t="shared" ref="Z30:Z40" si="15">IF(T30=0,0,X30/T30)</f>
        <v>-6.9336964976865173E-2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9474.9500000000007</v>
      </c>
      <c r="E31" s="2"/>
      <c r="F31" s="6">
        <f t="shared" si="8"/>
        <v>0</v>
      </c>
      <c r="G31" s="2"/>
      <c r="H31" s="7">
        <v>9129.2307692307695</v>
      </c>
      <c r="I31" s="2"/>
      <c r="J31" s="6">
        <f t="shared" si="9"/>
        <v>0</v>
      </c>
      <c r="K31" s="2"/>
      <c r="L31" s="7">
        <f t="shared" si="10"/>
        <v>345.71923076923122</v>
      </c>
      <c r="M31" s="2"/>
      <c r="N31" s="6">
        <f t="shared" si="11"/>
        <v>3.7869480957195868E-2</v>
      </c>
      <c r="O31" s="11"/>
      <c r="P31" s="7">
        <v>91751.14</v>
      </c>
      <c r="Q31" s="2"/>
      <c r="R31" s="6">
        <f t="shared" si="12"/>
        <v>0</v>
      </c>
      <c r="S31" s="2"/>
      <c r="T31" s="7">
        <v>89010.000000000102</v>
      </c>
      <c r="U31" s="2"/>
      <c r="V31" s="6">
        <f t="shared" si="13"/>
        <v>0</v>
      </c>
      <c r="W31" s="2"/>
      <c r="X31" s="7">
        <f t="shared" si="14"/>
        <v>2741.1399999998976</v>
      </c>
      <c r="Y31" s="2"/>
      <c r="Z31" s="6">
        <f t="shared" si="15"/>
        <v>3.0795865633073748E-2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9474.51</v>
      </c>
      <c r="E34" s="2"/>
      <c r="F34" s="6">
        <f t="shared" si="8"/>
        <v>0</v>
      </c>
      <c r="G34" s="2"/>
      <c r="H34" s="7">
        <v>9126.4</v>
      </c>
      <c r="I34" s="2"/>
      <c r="J34" s="6">
        <f t="shared" si="9"/>
        <v>0</v>
      </c>
      <c r="K34" s="2"/>
      <c r="L34" s="7">
        <f t="shared" si="10"/>
        <v>348.11000000000058</v>
      </c>
      <c r="M34" s="2"/>
      <c r="N34" s="6">
        <f t="shared" si="11"/>
        <v>3.8143188990182396E-2</v>
      </c>
      <c r="O34" s="11"/>
      <c r="P34" s="7">
        <v>93251.47</v>
      </c>
      <c r="Q34" s="2"/>
      <c r="R34" s="6">
        <f t="shared" si="12"/>
        <v>0</v>
      </c>
      <c r="S34" s="2"/>
      <c r="T34" s="7">
        <v>88982.399999999994</v>
      </c>
      <c r="U34" s="2"/>
      <c r="V34" s="6">
        <f t="shared" si="13"/>
        <v>0</v>
      </c>
      <c r="W34" s="2"/>
      <c r="X34" s="7">
        <f t="shared" si="14"/>
        <v>4269.070000000007</v>
      </c>
      <c r="Y34" s="2"/>
      <c r="Z34" s="6">
        <f t="shared" si="15"/>
        <v>4.7976566152407751E-2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3704.26</v>
      </c>
      <c r="E35" s="2"/>
      <c r="F35" s="6">
        <f t="shared" si="8"/>
        <v>0</v>
      </c>
      <c r="G35" s="2"/>
      <c r="H35" s="7">
        <v>7772</v>
      </c>
      <c r="I35" s="2"/>
      <c r="J35" s="6">
        <f t="shared" si="9"/>
        <v>0</v>
      </c>
      <c r="K35" s="2"/>
      <c r="L35" s="7">
        <f t="shared" si="10"/>
        <v>-4067.74</v>
      </c>
      <c r="M35" s="2"/>
      <c r="N35" s="6">
        <f t="shared" si="11"/>
        <v>-0.52338394235717955</v>
      </c>
      <c r="O35" s="11"/>
      <c r="P35" s="7">
        <v>47675.19</v>
      </c>
      <c r="Q35" s="2"/>
      <c r="R35" s="6">
        <f t="shared" si="12"/>
        <v>0</v>
      </c>
      <c r="S35" s="2"/>
      <c r="T35" s="7">
        <v>75777</v>
      </c>
      <c r="U35" s="2"/>
      <c r="V35" s="6">
        <f t="shared" si="13"/>
        <v>0</v>
      </c>
      <c r="W35" s="2"/>
      <c r="X35" s="7">
        <f t="shared" si="14"/>
        <v>-28101.809999999998</v>
      </c>
      <c r="Y35" s="2"/>
      <c r="Z35" s="6">
        <f t="shared" si="15"/>
        <v>-0.37084880636604772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964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964</v>
      </c>
      <c r="M37" s="2"/>
      <c r="N37" s="6">
        <f t="shared" si="11"/>
        <v>0</v>
      </c>
      <c r="O37" s="11"/>
      <c r="P37" s="7">
        <v>3496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3496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3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2250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-2250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2250</v>
      </c>
      <c r="U42" s="2"/>
      <c r="V42" s="6">
        <f t="shared" si="21"/>
        <v>0</v>
      </c>
      <c r="W42" s="2"/>
      <c r="X42" s="7">
        <f t="shared" si="22"/>
        <v>-2250</v>
      </c>
      <c r="Y42" s="2"/>
      <c r="Z42" s="6">
        <f t="shared" si="23"/>
        <v>-1</v>
      </c>
    </row>
    <row r="43" spans="1:26" s="25" customFormat="1" outlineLevel="1" collapsed="1" x14ac:dyDescent="0.25">
      <c r="A43" s="27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700</v>
      </c>
      <c r="U43" s="1"/>
      <c r="V43" s="5">
        <f t="shared" si="21"/>
        <v>0</v>
      </c>
      <c r="W43" s="1"/>
      <c r="X43" s="1">
        <f t="shared" si="22"/>
        <v>-618.44000000000005</v>
      </c>
      <c r="Y43" s="1"/>
      <c r="Z43" s="5">
        <f t="shared" si="23"/>
        <v>-0.88348571428571432</v>
      </c>
    </row>
    <row r="44" spans="1:26" s="24" customFormat="1" hidden="1" outlineLevel="2" x14ac:dyDescent="0.25">
      <c r="A44" s="26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0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81.56</v>
      </c>
      <c r="Q44" s="2"/>
      <c r="R44" s="6">
        <f t="shared" si="20"/>
        <v>0</v>
      </c>
      <c r="S44" s="2"/>
      <c r="T44" s="7">
        <v>700</v>
      </c>
      <c r="U44" s="2"/>
      <c r="V44" s="6">
        <f t="shared" si="21"/>
        <v>0</v>
      </c>
      <c r="W44" s="2"/>
      <c r="X44" s="7">
        <f t="shared" si="22"/>
        <v>-618.44000000000005</v>
      </c>
      <c r="Y44" s="2"/>
      <c r="Z44" s="6">
        <f t="shared" si="23"/>
        <v>-0.88348571428571432</v>
      </c>
    </row>
    <row r="45" spans="1:26" s="25" customFormat="1" outlineLevel="1" collapsed="1" x14ac:dyDescent="0.25">
      <c r="A45" s="27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656</v>
      </c>
      <c r="U45" s="1"/>
      <c r="V45" s="5">
        <f t="shared" si="21"/>
        <v>0</v>
      </c>
      <c r="W45" s="1"/>
      <c r="X45" s="1">
        <f t="shared" si="22"/>
        <v>-656</v>
      </c>
      <c r="Y45" s="1"/>
      <c r="Z45" s="5">
        <f t="shared" si="23"/>
        <v>-1</v>
      </c>
    </row>
    <row r="46" spans="1:26" s="24" customFormat="1" hidden="1" outlineLevel="2" x14ac:dyDescent="0.25">
      <c r="A46" s="26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656</v>
      </c>
      <c r="U46" s="2"/>
      <c r="V46" s="6">
        <f t="shared" si="21"/>
        <v>0</v>
      </c>
      <c r="W46" s="2"/>
      <c r="X46" s="7">
        <f t="shared" si="22"/>
        <v>-656</v>
      </c>
      <c r="Y46" s="2"/>
      <c r="Z46" s="6">
        <f t="shared" si="23"/>
        <v>-1</v>
      </c>
    </row>
    <row r="47" spans="1:26" s="25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10.220000000000001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-72.78</v>
      </c>
      <c r="M47" s="1"/>
      <c r="N47" s="5">
        <f t="shared" si="19"/>
        <v>-0.87686746987951814</v>
      </c>
      <c r="O47" s="13"/>
      <c r="P47" s="1">
        <f>SUM(OSRRefP22_5x_0)</f>
        <v>116.77</v>
      </c>
      <c r="Q47" s="1"/>
      <c r="R47" s="5">
        <f t="shared" si="20"/>
        <v>0</v>
      </c>
      <c r="S47" s="1"/>
      <c r="T47" s="1">
        <f>SUM(OSRRefT22_5x_0)</f>
        <v>747</v>
      </c>
      <c r="U47" s="1"/>
      <c r="V47" s="5">
        <f t="shared" si="21"/>
        <v>0</v>
      </c>
      <c r="W47" s="1"/>
      <c r="X47" s="1">
        <f t="shared" si="22"/>
        <v>-630.23</v>
      </c>
      <c r="Y47" s="1"/>
      <c r="Z47" s="5">
        <f t="shared" si="23"/>
        <v>-0.84368139223560912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7">
        <v>10.220000000000001</v>
      </c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-72.78</v>
      </c>
      <c r="M48" s="2"/>
      <c r="N48" s="6">
        <f t="shared" si="19"/>
        <v>-0.87686746987951814</v>
      </c>
      <c r="O48" s="11"/>
      <c r="P48" s="7">
        <v>116.77</v>
      </c>
      <c r="Q48" s="2"/>
      <c r="R48" s="6">
        <f t="shared" si="20"/>
        <v>0</v>
      </c>
      <c r="S48" s="2"/>
      <c r="T48" s="7">
        <v>747</v>
      </c>
      <c r="U48" s="2"/>
      <c r="V48" s="6">
        <f t="shared" si="21"/>
        <v>0</v>
      </c>
      <c r="W48" s="2"/>
      <c r="X48" s="7">
        <f t="shared" si="22"/>
        <v>-630.23</v>
      </c>
      <c r="Y48" s="2"/>
      <c r="Z48" s="6">
        <f t="shared" si="23"/>
        <v>-0.84368139223560912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52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-281</v>
      </c>
      <c r="M49" s="1"/>
      <c r="N49" s="5">
        <f t="shared" si="19"/>
        <v>-0.84384384384384381</v>
      </c>
      <c r="O49" s="13"/>
      <c r="P49" s="1">
        <f>SUM(OSRRefP22_6x_0)</f>
        <v>229.14</v>
      </c>
      <c r="Q49" s="1"/>
      <c r="R49" s="5">
        <f t="shared" si="20"/>
        <v>0</v>
      </c>
      <c r="S49" s="1"/>
      <c r="T49" s="1">
        <f>SUM(OSRRefT22_6x_0)</f>
        <v>2997</v>
      </c>
      <c r="U49" s="1"/>
      <c r="V49" s="5">
        <f t="shared" si="21"/>
        <v>0</v>
      </c>
      <c r="W49" s="1"/>
      <c r="X49" s="1">
        <f t="shared" si="22"/>
        <v>-2767.86</v>
      </c>
      <c r="Y49" s="1"/>
      <c r="Z49" s="5">
        <f t="shared" si="23"/>
        <v>-0.92354354354354362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>
        <v>52</v>
      </c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-281</v>
      </c>
      <c r="M50" s="2"/>
      <c r="N50" s="6">
        <f t="shared" si="19"/>
        <v>-0.84384384384384381</v>
      </c>
      <c r="O50" s="11"/>
      <c r="P50" s="7">
        <v>229.14</v>
      </c>
      <c r="Q50" s="2"/>
      <c r="R50" s="6">
        <f t="shared" si="20"/>
        <v>0</v>
      </c>
      <c r="S50" s="2"/>
      <c r="T50" s="7">
        <v>2997</v>
      </c>
      <c r="U50" s="2"/>
      <c r="V50" s="6">
        <f t="shared" si="21"/>
        <v>0</v>
      </c>
      <c r="W50" s="2"/>
      <c r="X50" s="7">
        <f t="shared" si="22"/>
        <v>-2767.86</v>
      </c>
      <c r="Y50" s="2"/>
      <c r="Z50" s="6">
        <f t="shared" si="23"/>
        <v>-0.92354354354354362</v>
      </c>
    </row>
    <row r="51" spans="1:26" s="25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3"/>
      <c r="P51" s="1">
        <f>SUM(OSRRefP22_7x_0)</f>
        <v>589.23</v>
      </c>
      <c r="Q51" s="1"/>
      <c r="R51" s="5">
        <f t="shared" si="20"/>
        <v>0</v>
      </c>
      <c r="S51" s="1"/>
      <c r="T51" s="1">
        <f>SUM(OSRRefT22_7x_0)</f>
        <v>1437</v>
      </c>
      <c r="U51" s="1"/>
      <c r="V51" s="5">
        <f t="shared" si="21"/>
        <v>0</v>
      </c>
      <c r="W51" s="1"/>
      <c r="X51" s="1">
        <f t="shared" si="22"/>
        <v>-847.77</v>
      </c>
      <c r="Y51" s="1"/>
      <c r="Z51" s="5">
        <f t="shared" si="23"/>
        <v>-0.58995824634655536</v>
      </c>
    </row>
    <row r="52" spans="1:26" s="24" customFormat="1" hidden="1" outlineLevel="2" x14ac:dyDescent="0.25">
      <c r="A52" s="26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589.23</v>
      </c>
      <c r="Q53" s="2"/>
      <c r="R53" s="6">
        <f t="shared" si="20"/>
        <v>0</v>
      </c>
      <c r="S53" s="2"/>
      <c r="T53" s="7">
        <v>657</v>
      </c>
      <c r="U53" s="2"/>
      <c r="V53" s="6">
        <f t="shared" si="21"/>
        <v>0</v>
      </c>
      <c r="W53" s="2"/>
      <c r="X53" s="7">
        <f t="shared" si="22"/>
        <v>-67.769999999999982</v>
      </c>
      <c r="Y53" s="2"/>
      <c r="Z53" s="6">
        <f t="shared" si="23"/>
        <v>-0.10315068493150682</v>
      </c>
    </row>
    <row r="54" spans="1:26" s="25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SUM(OSRRefD22_8x_0)</f>
        <v>0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-2083</v>
      </c>
      <c r="M54" s="1"/>
      <c r="N54" s="5">
        <f t="shared" ref="N54:N57" si="27">IF(H54=0,0,L54/H54)</f>
        <v>-1</v>
      </c>
      <c r="O54" s="13"/>
      <c r="P54" s="1">
        <f>SUM(OSRRefP22_8x_0)</f>
        <v>8819.880000000001</v>
      </c>
      <c r="Q54" s="1"/>
      <c r="R54" s="5">
        <f t="shared" ref="R54:R57" si="28">IF(P$12=0,0,P54/P$12)</f>
        <v>0</v>
      </c>
      <c r="S54" s="1"/>
      <c r="T54" s="1">
        <f>SUM(OSRRefT22_8x_0)</f>
        <v>18747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-9927.119999999999</v>
      </c>
      <c r="Y54" s="1"/>
      <c r="Z54" s="5">
        <f t="shared" ref="Z54:Z57" si="31">IF(T54=0,0,X54/T54)</f>
        <v>-0.52953112497999677</v>
      </c>
    </row>
    <row r="55" spans="1:26" s="24" customFormat="1" hidden="1" outlineLevel="2" x14ac:dyDescent="0.25">
      <c r="A55" s="26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6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-833</v>
      </c>
      <c r="M56" s="2"/>
      <c r="N56" s="6">
        <f t="shared" si="27"/>
        <v>-1</v>
      </c>
      <c r="O56" s="11"/>
      <c r="P56" s="7">
        <v>2450</v>
      </c>
      <c r="Q56" s="2"/>
      <c r="R56" s="6">
        <f t="shared" si="28"/>
        <v>0</v>
      </c>
      <c r="S56" s="2"/>
      <c r="T56" s="7">
        <v>7497</v>
      </c>
      <c r="U56" s="2"/>
      <c r="V56" s="6">
        <f t="shared" si="29"/>
        <v>0</v>
      </c>
      <c r="W56" s="2"/>
      <c r="X56" s="7">
        <f t="shared" si="30"/>
        <v>-5047</v>
      </c>
      <c r="Y56" s="2"/>
      <c r="Z56" s="6">
        <f t="shared" si="31"/>
        <v>-0.67320261437908502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-1250</v>
      </c>
      <c r="M57" s="2"/>
      <c r="N57" s="6">
        <f t="shared" si="27"/>
        <v>-1</v>
      </c>
      <c r="O57" s="11"/>
      <c r="P57" s="7">
        <v>6369.88</v>
      </c>
      <c r="Q57" s="2"/>
      <c r="R57" s="6">
        <f t="shared" si="28"/>
        <v>0</v>
      </c>
      <c r="S57" s="2"/>
      <c r="T57" s="7">
        <v>11250</v>
      </c>
      <c r="U57" s="2"/>
      <c r="V57" s="6">
        <f t="shared" si="29"/>
        <v>0</v>
      </c>
      <c r="W57" s="2"/>
      <c r="X57" s="7">
        <f t="shared" si="30"/>
        <v>-4880.12</v>
      </c>
      <c r="Y57" s="2"/>
      <c r="Z57" s="6">
        <f t="shared" si="31"/>
        <v>-0.43378844444444442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3753.51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-3329.49</v>
      </c>
      <c r="M58" s="1"/>
      <c r="N58" s="5">
        <f t="shared" ref="N58:N60" si="35">IF(H58=0,0,L58/H58)</f>
        <v>-0.47006776789495974</v>
      </c>
      <c r="O58" s="13"/>
      <c r="P58" s="1">
        <f>SUM(OSRRefP22_9x_0)</f>
        <v>43113.579999999994</v>
      </c>
      <c r="Q58" s="1"/>
      <c r="R58" s="5">
        <f t="shared" ref="R58:R60" si="36">IF(P$12=0,0,P58/P$12)</f>
        <v>0</v>
      </c>
      <c r="S58" s="1"/>
      <c r="T58" s="1">
        <f>SUM(OSRRefT22_9x_0)</f>
        <v>63747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-20633.420000000006</v>
      </c>
      <c r="Y58" s="1"/>
      <c r="Z58" s="5">
        <f t="shared" ref="Z58:Z60" si="39">IF(T58=0,0,X58/T58)</f>
        <v>-0.32367672204182169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3753.51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-3329.49</v>
      </c>
      <c r="M59" s="2"/>
      <c r="N59" s="6">
        <f t="shared" si="35"/>
        <v>-0.47006776789495974</v>
      </c>
      <c r="O59" s="11"/>
      <c r="P59" s="7">
        <v>43007.56</v>
      </c>
      <c r="Q59" s="2"/>
      <c r="R59" s="6">
        <f t="shared" si="36"/>
        <v>0</v>
      </c>
      <c r="S59" s="2"/>
      <c r="T59" s="7">
        <v>63747</v>
      </c>
      <c r="U59" s="2"/>
      <c r="V59" s="6">
        <f t="shared" si="37"/>
        <v>0</v>
      </c>
      <c r="W59" s="2"/>
      <c r="X59" s="7">
        <f t="shared" si="38"/>
        <v>-20739.440000000002</v>
      </c>
      <c r="Y59" s="2"/>
      <c r="Z59" s="6">
        <f t="shared" si="39"/>
        <v>-0.3253398591306258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106.02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106.02</v>
      </c>
      <c r="Y60" s="2"/>
      <c r="Z60" s="6">
        <f t="shared" si="39"/>
        <v>0</v>
      </c>
    </row>
    <row r="61" spans="1:26" s="25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3"/>
      <c r="P61" s="1">
        <f>SUM(OSRRefP22_10x_0)</f>
        <v>1329.99</v>
      </c>
      <c r="Q61" s="1"/>
      <c r="R61" s="5">
        <f t="shared" ref="R61:R66" si="44">IF(P$12=0,0,P61/P$12)</f>
        <v>0</v>
      </c>
      <c r="S61" s="1"/>
      <c r="T61" s="1">
        <f>SUM(OSRRefT22_10x_0)</f>
        <v>495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834.99</v>
      </c>
      <c r="Y61" s="1"/>
      <c r="Z61" s="5">
        <f t="shared" ref="Z61:Z66" si="47">IF(T61=0,0,X61/T61)</f>
        <v>1.6868484848484848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-55</v>
      </c>
      <c r="M62" s="2"/>
      <c r="N62" s="6">
        <f t="shared" si="43"/>
        <v>-1</v>
      </c>
      <c r="O62" s="11"/>
      <c r="P62" s="7">
        <v>1329.99</v>
      </c>
      <c r="Q62" s="2"/>
      <c r="R62" s="6">
        <f t="shared" si="44"/>
        <v>0</v>
      </c>
      <c r="S62" s="2"/>
      <c r="T62" s="7">
        <v>495</v>
      </c>
      <c r="U62" s="2"/>
      <c r="V62" s="6">
        <f t="shared" si="45"/>
        <v>0</v>
      </c>
      <c r="W62" s="2"/>
      <c r="X62" s="7">
        <f t="shared" si="46"/>
        <v>834.99</v>
      </c>
      <c r="Y62" s="2"/>
      <c r="Z62" s="6">
        <f t="shared" si="47"/>
        <v>1.6868484848484848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SUM(OSRRefD22_11x_0)</f>
        <v>0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-2084</v>
      </c>
      <c r="M63" s="1"/>
      <c r="N63" s="5">
        <f t="shared" si="43"/>
        <v>-1</v>
      </c>
      <c r="O63" s="13"/>
      <c r="P63" s="1">
        <f>SUM(OSRRefP22_11x_0)</f>
        <v>2388.2600000000002</v>
      </c>
      <c r="Q63" s="1"/>
      <c r="R63" s="5">
        <f t="shared" si="44"/>
        <v>0</v>
      </c>
      <c r="S63" s="1"/>
      <c r="T63" s="1">
        <f>SUM(OSRRefT22_11x_0)</f>
        <v>18756</v>
      </c>
      <c r="U63" s="1"/>
      <c r="V63" s="5">
        <f t="shared" si="45"/>
        <v>0</v>
      </c>
      <c r="W63" s="1"/>
      <c r="X63" s="1">
        <f t="shared" si="46"/>
        <v>-16367.74</v>
      </c>
      <c r="Y63" s="1"/>
      <c r="Z63" s="5">
        <f t="shared" si="47"/>
        <v>-0.87266687993175518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3753</v>
      </c>
      <c r="U64" s="2"/>
      <c r="V64" s="6">
        <f t="shared" si="45"/>
        <v>0</v>
      </c>
      <c r="W64" s="2"/>
      <c r="X64" s="7">
        <f t="shared" si="46"/>
        <v>-3542.42</v>
      </c>
      <c r="Y64" s="2"/>
      <c r="Z64" s="6">
        <f t="shared" si="47"/>
        <v>-0.94389022115640819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-1250</v>
      </c>
      <c r="M65" s="2"/>
      <c r="N65" s="6">
        <f t="shared" si="43"/>
        <v>-1</v>
      </c>
      <c r="O65" s="11"/>
      <c r="P65" s="7">
        <v>1954.97</v>
      </c>
      <c r="Q65" s="2"/>
      <c r="R65" s="6">
        <f t="shared" si="44"/>
        <v>0</v>
      </c>
      <c r="S65" s="2"/>
      <c r="T65" s="7">
        <v>11250</v>
      </c>
      <c r="U65" s="2"/>
      <c r="V65" s="6">
        <f t="shared" si="45"/>
        <v>0</v>
      </c>
      <c r="W65" s="2"/>
      <c r="X65" s="7">
        <f t="shared" si="46"/>
        <v>-9295.0300000000007</v>
      </c>
      <c r="Y65" s="2"/>
      <c r="Z65" s="6">
        <f t="shared" si="47"/>
        <v>-0.8262248888888889</v>
      </c>
    </row>
    <row r="66" spans="1:26" s="24" customFormat="1" hidden="1" outlineLevel="2" x14ac:dyDescent="0.25">
      <c r="A66" s="26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3753</v>
      </c>
      <c r="U66" s="2"/>
      <c r="V66" s="6">
        <f t="shared" si="45"/>
        <v>0</v>
      </c>
      <c r="W66" s="2"/>
      <c r="X66" s="7">
        <f t="shared" si="46"/>
        <v>-3530.29</v>
      </c>
      <c r="Y66" s="2"/>
      <c r="Z66" s="6">
        <f t="shared" si="47"/>
        <v>-0.94065814015454308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270.75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-19.25</v>
      </c>
      <c r="M67" s="1"/>
      <c r="N67" s="5">
        <f t="shared" ref="N67:N72" si="51">IF(H67=0,0,L67/H67)</f>
        <v>-6.637931034482758E-2</v>
      </c>
      <c r="O67" s="13"/>
      <c r="P67" s="1">
        <f>SUM(OSRRefP22_12x_0)</f>
        <v>2799.3</v>
      </c>
      <c r="Q67" s="1"/>
      <c r="R67" s="5">
        <f t="shared" ref="R67:R72" si="52">IF(P$12=0,0,P67/P$12)</f>
        <v>0</v>
      </c>
      <c r="S67" s="1"/>
      <c r="T67" s="1">
        <f>SUM(OSRRefT22_12x_0)</f>
        <v>2610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189.30000000000018</v>
      </c>
      <c r="Y67" s="1"/>
      <c r="Z67" s="5">
        <f t="shared" ref="Z67:Z72" si="55">IF(T67=0,0,X67/T67)</f>
        <v>7.2528735632183983E-2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270.75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-19.25</v>
      </c>
      <c r="M68" s="2"/>
      <c r="N68" s="6">
        <f t="shared" si="51"/>
        <v>-6.637931034482758E-2</v>
      </c>
      <c r="O68" s="11"/>
      <c r="P68" s="7">
        <v>2799.3</v>
      </c>
      <c r="Q68" s="2"/>
      <c r="R68" s="6">
        <f t="shared" si="52"/>
        <v>0</v>
      </c>
      <c r="S68" s="2"/>
      <c r="T68" s="7">
        <v>2610</v>
      </c>
      <c r="U68" s="2"/>
      <c r="V68" s="6">
        <f t="shared" si="53"/>
        <v>0</v>
      </c>
      <c r="W68" s="2"/>
      <c r="X68" s="7">
        <f t="shared" si="54"/>
        <v>189.30000000000018</v>
      </c>
      <c r="Y68" s="2"/>
      <c r="Z68" s="6">
        <f t="shared" si="55"/>
        <v>7.2528735632183983E-2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3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8514</v>
      </c>
      <c r="U69" s="1"/>
      <c r="V69" s="5">
        <f t="shared" si="53"/>
        <v>0</v>
      </c>
      <c r="W69" s="1"/>
      <c r="X69" s="1">
        <f t="shared" si="54"/>
        <v>-8611</v>
      </c>
      <c r="Y69" s="1"/>
      <c r="Z69" s="5">
        <f t="shared" si="55"/>
        <v>-1.0113929997650928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8514</v>
      </c>
      <c r="U70" s="2"/>
      <c r="V70" s="6">
        <f t="shared" si="53"/>
        <v>0</v>
      </c>
      <c r="W70" s="2"/>
      <c r="X70" s="7">
        <f t="shared" si="54"/>
        <v>-8611</v>
      </c>
      <c r="Y70" s="2"/>
      <c r="Z70" s="6">
        <f t="shared" si="55"/>
        <v>-1.0113929997650928</v>
      </c>
    </row>
    <row r="71" spans="1:26" s="25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3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6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59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277</v>
      </c>
      <c r="C76" s="29"/>
      <c r="D76" s="20">
        <f>+D16-D18+D74</f>
        <v>-39480.030000000006</v>
      </c>
      <c r="E76" s="14"/>
      <c r="F76" s="21">
        <f>IF(D$12=0,0,D76/D$12)</f>
        <v>0</v>
      </c>
      <c r="G76" s="14"/>
      <c r="H76" s="20">
        <f>+H16-H18+H74</f>
        <v>-49905.525784615398</v>
      </c>
      <c r="I76" s="14"/>
      <c r="J76" s="21">
        <f>IF(H$12=0,0,H76/H$12)</f>
        <v>0</v>
      </c>
      <c r="K76" s="16"/>
      <c r="L76" s="20">
        <f>+D76-H76</f>
        <v>10425.495784615392</v>
      </c>
      <c r="M76" s="16"/>
      <c r="N76" s="21">
        <f>IF(H76=0,0,L76/H76)</f>
        <v>-0.20890463772709728</v>
      </c>
      <c r="O76" s="28"/>
      <c r="P76" s="20">
        <f>+P16-P18+P74</f>
        <v>-406545.27</v>
      </c>
      <c r="Q76" s="14"/>
      <c r="R76" s="21">
        <f>IF(P$12=0,0,P76/P$12)</f>
        <v>0</v>
      </c>
      <c r="S76" s="14"/>
      <c r="T76" s="20">
        <f>+T16-T18+T74</f>
        <v>-476076.62640000007</v>
      </c>
      <c r="U76" s="14"/>
      <c r="V76" s="21">
        <f>IF(T$12=0,0,T76/T$12)</f>
        <v>0</v>
      </c>
      <c r="W76" s="16"/>
      <c r="X76" s="20">
        <f>+P76-T76</f>
        <v>69531.356400000048</v>
      </c>
      <c r="Y76" s="16"/>
      <c r="Z76" s="21">
        <f>IF(T76=0,0,X76/T76)</f>
        <v>-0.14605076692334762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126</v>
      </c>
      <c r="C80" s="29"/>
      <c r="D80" s="34">
        <f>+D76-D78</f>
        <v>-39480.030000000006</v>
      </c>
      <c r="E80" s="14"/>
      <c r="F80" s="30">
        <f>IF(D$12=0,0,D80/D$12)</f>
        <v>0</v>
      </c>
      <c r="G80" s="14"/>
      <c r="H80" s="34">
        <f>+H76-H78</f>
        <v>-49905.525784615398</v>
      </c>
      <c r="I80" s="14"/>
      <c r="J80" s="30">
        <f>IF(H$12=0,0,H80/H$12)</f>
        <v>0</v>
      </c>
      <c r="K80" s="16"/>
      <c r="L80" s="34">
        <f>D80-H80</f>
        <v>10425.495784615392</v>
      </c>
      <c r="M80" s="16"/>
      <c r="N80" s="30">
        <f>IF(H80=0,0,L80/H80)</f>
        <v>-0.20890463772709728</v>
      </c>
      <c r="O80" s="28"/>
      <c r="P80" s="34">
        <f>+P76-P78</f>
        <v>-406545.27</v>
      </c>
      <c r="Q80" s="14"/>
      <c r="R80" s="30">
        <f>IF(P$12=0,0,P80/P$12)</f>
        <v>0</v>
      </c>
      <c r="S80" s="14"/>
      <c r="T80" s="34">
        <f>+T76-T78</f>
        <v>-476076.62640000007</v>
      </c>
      <c r="U80" s="14"/>
      <c r="V80" s="30">
        <f>IF(T$12=0,0,T80/T$12)</f>
        <v>0</v>
      </c>
      <c r="W80" s="16"/>
      <c r="X80" s="34">
        <f>P80-T80</f>
        <v>69531.356400000048</v>
      </c>
      <c r="Y80" s="16"/>
      <c r="Z80" s="30">
        <f>IF(T80=0,0,X80/T80)</f>
        <v>-0.14605076692334762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294</v>
      </c>
      <c r="C83" s="29"/>
      <c r="D83" s="31">
        <f>SUM(D80:D82)</f>
        <v>-39480.030000000006</v>
      </c>
      <c r="E83" s="14"/>
      <c r="F83" s="35">
        <f>IF(D$12=0,0,D83/D$12)</f>
        <v>0</v>
      </c>
      <c r="G83" s="14"/>
      <c r="H83" s="31">
        <f>SUM(H80:H82)</f>
        <v>-49905.525784615398</v>
      </c>
      <c r="I83" s="14"/>
      <c r="J83" s="35">
        <f>IF(H$12=0,0,H83/H$12)</f>
        <v>0</v>
      </c>
      <c r="K83" s="16"/>
      <c r="L83" s="31">
        <f>+D83-H83</f>
        <v>10425.495784615392</v>
      </c>
      <c r="M83" s="16"/>
      <c r="N83" s="35">
        <f>IF(H83=0,0,L83/H83)</f>
        <v>-0.20890463772709728</v>
      </c>
      <c r="O83" s="28"/>
      <c r="P83" s="31">
        <f>SUM(P80:P82)</f>
        <v>-406545.27</v>
      </c>
      <c r="Q83" s="14"/>
      <c r="R83" s="35">
        <f>IF(P$12=0,0,P83/P$12)</f>
        <v>0</v>
      </c>
      <c r="S83" s="14"/>
      <c r="T83" s="31">
        <f>SUM(T80:T82)</f>
        <v>-476076.62640000007</v>
      </c>
      <c r="U83" s="14"/>
      <c r="V83" s="35">
        <f>IF(T$12=0,0,T83/T$12)</f>
        <v>0</v>
      </c>
      <c r="W83" s="16"/>
      <c r="X83" s="31">
        <f>+P83-T83</f>
        <v>69531.356400000048</v>
      </c>
      <c r="Y83" s="16"/>
      <c r="Z83" s="35">
        <f>IF(T83=0,0,X83/T83)</f>
        <v>-0.14605076692334762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>
        <v>44295.961797766206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3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50075.959999999992</v>
      </c>
      <c r="E18" s="22"/>
      <c r="F18" s="32">
        <f t="shared" ref="F18:F29" si="0">IF(D$12=0,0,D18/D$12)</f>
        <v>0</v>
      </c>
      <c r="G18" s="22"/>
      <c r="H18" s="22">
        <f>SUM(OSRRefH22x_0)</f>
        <v>51259.722846153818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-1183.7628461538261</v>
      </c>
      <c r="M18" s="4"/>
      <c r="N18" s="32">
        <f t="shared" ref="N18:N29" si="3">IF(H18=0,0,L18/H18)</f>
        <v>-2.3093430483552599E-2</v>
      </c>
      <c r="O18" s="10"/>
      <c r="P18" s="22">
        <f>SUM(OSRRefP22x_0)</f>
        <v>456160.60000000003</v>
      </c>
      <c r="Q18" s="22"/>
      <c r="R18" s="32">
        <f t="shared" ref="R18:R29" si="4">IF(P$12=0,0,P18/P$12)</f>
        <v>0</v>
      </c>
      <c r="S18" s="22"/>
      <c r="T18" s="22">
        <f>SUM(OSRRefT22x_0)</f>
        <v>474582.93807692314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-18422.338076923101</v>
      </c>
      <c r="Y18" s="4"/>
      <c r="Z18" s="32">
        <f t="shared" ref="Z18:Z29" si="7">IF(T18=0,0,X18/T18)</f>
        <v>-3.8817952772539625E-2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10511.94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-469.70592307691368</v>
      </c>
      <c r="M19" s="1"/>
      <c r="N19" s="5">
        <f t="shared" si="3"/>
        <v>-4.2771905629361999E-2</v>
      </c>
      <c r="O19" s="13"/>
      <c r="P19" s="1">
        <f>SUM(OSRRefP22_0x_0)</f>
        <v>109028.22</v>
      </c>
      <c r="Q19" s="1"/>
      <c r="R19" s="5">
        <f t="shared" si="4"/>
        <v>0</v>
      </c>
      <c r="S19" s="1"/>
      <c r="T19" s="1">
        <f>SUM(OSRRefT22_0x_0)</f>
        <v>106270.93807692311</v>
      </c>
      <c r="U19" s="1"/>
      <c r="V19" s="5">
        <f t="shared" si="5"/>
        <v>0</v>
      </c>
      <c r="W19" s="1"/>
      <c r="X19" s="1">
        <f t="shared" si="6"/>
        <v>2757.2819230768946</v>
      </c>
      <c r="Y19" s="1"/>
      <c r="Z19" s="5">
        <f t="shared" si="7"/>
        <v>2.5945775702864927E-2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1606.5413076923101</v>
      </c>
      <c r="I20" s="2"/>
      <c r="J20" s="6">
        <f t="shared" si="1"/>
        <v>0</v>
      </c>
      <c r="K20" s="2"/>
      <c r="L20" s="7">
        <f t="shared" si="2"/>
        <v>-189.40130769230996</v>
      </c>
      <c r="M20" s="2"/>
      <c r="N20" s="6">
        <f t="shared" si="3"/>
        <v>-0.11789382992235187</v>
      </c>
      <c r="O20" s="11"/>
      <c r="P20" s="7">
        <v>15541.99</v>
      </c>
      <c r="Q20" s="2"/>
      <c r="R20" s="6">
        <f t="shared" si="4"/>
        <v>0</v>
      </c>
      <c r="S20" s="2"/>
      <c r="T20" s="7">
        <v>16109.565000000001</v>
      </c>
      <c r="U20" s="2"/>
      <c r="V20" s="6">
        <f t="shared" si="5"/>
        <v>0</v>
      </c>
      <c r="W20" s="2"/>
      <c r="X20" s="7">
        <f t="shared" si="6"/>
        <v>-567.57500000000073</v>
      </c>
      <c r="Y20" s="2"/>
      <c r="Z20" s="6">
        <f t="shared" si="7"/>
        <v>-3.5232174177266783E-2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61.13</v>
      </c>
      <c r="E21" s="2"/>
      <c r="F21" s="6">
        <f t="shared" si="0"/>
        <v>0</v>
      </c>
      <c r="G21" s="2"/>
      <c r="H21" s="7">
        <v>69.274615384615402</v>
      </c>
      <c r="I21" s="2"/>
      <c r="J21" s="6">
        <f t="shared" si="1"/>
        <v>0</v>
      </c>
      <c r="K21" s="2"/>
      <c r="L21" s="7">
        <f t="shared" si="2"/>
        <v>-8.144615384615399</v>
      </c>
      <c r="M21" s="2"/>
      <c r="N21" s="6">
        <f t="shared" si="3"/>
        <v>-0.11756998345492317</v>
      </c>
      <c r="O21" s="11"/>
      <c r="P21" s="7">
        <v>722.85</v>
      </c>
      <c r="Q21" s="2"/>
      <c r="R21" s="6">
        <f t="shared" si="4"/>
        <v>0</v>
      </c>
      <c r="S21" s="2"/>
      <c r="T21" s="7">
        <v>694.65</v>
      </c>
      <c r="U21" s="2"/>
      <c r="V21" s="6">
        <f t="shared" si="5"/>
        <v>0</v>
      </c>
      <c r="W21" s="2"/>
      <c r="X21" s="7">
        <f t="shared" si="6"/>
        <v>28.200000000000045</v>
      </c>
      <c r="Y21" s="2"/>
      <c r="Z21" s="6">
        <f t="shared" si="7"/>
        <v>4.0595983588857763E-2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4844.5200000000004</v>
      </c>
      <c r="E22" s="2"/>
      <c r="F22" s="6">
        <f t="shared" si="0"/>
        <v>0</v>
      </c>
      <c r="G22" s="2"/>
      <c r="H22" s="7">
        <v>4730.4807692307704</v>
      </c>
      <c r="I22" s="2"/>
      <c r="J22" s="6">
        <f t="shared" si="1"/>
        <v>0</v>
      </c>
      <c r="K22" s="2"/>
      <c r="L22" s="7">
        <f t="shared" si="2"/>
        <v>114.03923076923002</v>
      </c>
      <c r="M22" s="2"/>
      <c r="N22" s="6">
        <f t="shared" si="3"/>
        <v>2.4107323617293574E-2</v>
      </c>
      <c r="O22" s="11"/>
      <c r="P22" s="7">
        <v>47913.94</v>
      </c>
      <c r="Q22" s="2"/>
      <c r="R22" s="6">
        <f t="shared" si="4"/>
        <v>0</v>
      </c>
      <c r="S22" s="2"/>
      <c r="T22" s="7">
        <v>45434.4230769231</v>
      </c>
      <c r="U22" s="2"/>
      <c r="V22" s="6">
        <f t="shared" si="5"/>
        <v>0</v>
      </c>
      <c r="W22" s="2"/>
      <c r="X22" s="7">
        <f t="shared" si="6"/>
        <v>2479.5169230769025</v>
      </c>
      <c r="Y22" s="2"/>
      <c r="Z22" s="6">
        <f t="shared" si="7"/>
        <v>5.4573531590330467E-2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6">
        <f t="shared" si="0"/>
        <v>0</v>
      </c>
      <c r="G23" s="2"/>
      <c r="H23" s="7">
        <v>54.58</v>
      </c>
      <c r="I23" s="2"/>
      <c r="J23" s="6">
        <f t="shared" si="1"/>
        <v>0</v>
      </c>
      <c r="K23" s="2"/>
      <c r="L23" s="7">
        <f t="shared" si="2"/>
        <v>-6.4200000000000017</v>
      </c>
      <c r="M23" s="2"/>
      <c r="N23" s="6">
        <f t="shared" si="3"/>
        <v>-0.11762550384756325</v>
      </c>
      <c r="O23" s="11"/>
      <c r="P23" s="7">
        <v>530.34</v>
      </c>
      <c r="Q23" s="2"/>
      <c r="R23" s="6">
        <f t="shared" si="4"/>
        <v>0</v>
      </c>
      <c r="S23" s="2"/>
      <c r="T23" s="7">
        <v>547.29999999999995</v>
      </c>
      <c r="U23" s="2"/>
      <c r="V23" s="6">
        <f t="shared" si="5"/>
        <v>0</v>
      </c>
      <c r="W23" s="2"/>
      <c r="X23" s="7">
        <f t="shared" si="6"/>
        <v>-16.959999999999923</v>
      </c>
      <c r="Y23" s="2"/>
      <c r="Z23" s="6">
        <f t="shared" si="7"/>
        <v>-3.0988488945733462E-2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1521.5384615384601</v>
      </c>
      <c r="I24" s="2"/>
      <c r="J24" s="6">
        <f t="shared" si="1"/>
        <v>0</v>
      </c>
      <c r="K24" s="2"/>
      <c r="L24" s="7">
        <f t="shared" si="2"/>
        <v>339.67153846153997</v>
      </c>
      <c r="M24" s="2"/>
      <c r="N24" s="6">
        <f t="shared" si="3"/>
        <v>0.22324216380182121</v>
      </c>
      <c r="O24" s="11"/>
      <c r="P24" s="7">
        <v>20067.32</v>
      </c>
      <c r="Q24" s="2"/>
      <c r="R24" s="6">
        <f t="shared" si="4"/>
        <v>0</v>
      </c>
      <c r="S24" s="2"/>
      <c r="T24" s="7">
        <v>14835</v>
      </c>
      <c r="U24" s="2"/>
      <c r="V24" s="6">
        <f t="shared" si="5"/>
        <v>0</v>
      </c>
      <c r="W24" s="2"/>
      <c r="X24" s="7">
        <f t="shared" si="6"/>
        <v>5232.32</v>
      </c>
      <c r="Y24" s="2"/>
      <c r="Z24" s="6">
        <f t="shared" si="7"/>
        <v>0.352701044826424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2700</v>
      </c>
      <c r="U25" s="2"/>
      <c r="V25" s="6">
        <f t="shared" si="5"/>
        <v>0</v>
      </c>
      <c r="W25" s="2"/>
      <c r="X25" s="7">
        <f t="shared" si="6"/>
        <v>-2700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1345.28</v>
      </c>
      <c r="E27" s="2"/>
      <c r="F27" s="6">
        <f t="shared" si="0"/>
        <v>0</v>
      </c>
      <c r="G27" s="2"/>
      <c r="H27" s="7">
        <v>1049.61538461538</v>
      </c>
      <c r="I27" s="2"/>
      <c r="J27" s="6">
        <f t="shared" si="1"/>
        <v>0</v>
      </c>
      <c r="K27" s="2"/>
      <c r="L27" s="7">
        <f t="shared" si="2"/>
        <v>295.66461538461999</v>
      </c>
      <c r="M27" s="2"/>
      <c r="N27" s="6">
        <f t="shared" si="3"/>
        <v>0.28168853059729404</v>
      </c>
      <c r="O27" s="11"/>
      <c r="P27" s="7">
        <v>13071.74</v>
      </c>
      <c r="Q27" s="2"/>
      <c r="R27" s="6">
        <f t="shared" si="4"/>
        <v>0</v>
      </c>
      <c r="S27" s="2"/>
      <c r="T27" s="7">
        <v>10275</v>
      </c>
      <c r="U27" s="2"/>
      <c r="V27" s="6">
        <f t="shared" si="5"/>
        <v>0</v>
      </c>
      <c r="W27" s="2"/>
      <c r="X27" s="7">
        <f t="shared" si="6"/>
        <v>2796.74</v>
      </c>
      <c r="Y27" s="2"/>
      <c r="Z27" s="6">
        <f t="shared" si="7"/>
        <v>0.27218880778588805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1049.61538461538</v>
      </c>
      <c r="I28" s="2"/>
      <c r="J28" s="6">
        <f t="shared" si="1"/>
        <v>0</v>
      </c>
      <c r="K28" s="2"/>
      <c r="L28" s="7">
        <f t="shared" si="2"/>
        <v>-205.55538461538004</v>
      </c>
      <c r="M28" s="2"/>
      <c r="N28" s="6">
        <f t="shared" si="3"/>
        <v>-0.1958387687797693</v>
      </c>
      <c r="O28" s="11"/>
      <c r="P28" s="7">
        <v>8793.4699999999993</v>
      </c>
      <c r="Q28" s="2"/>
      <c r="R28" s="6">
        <f t="shared" si="4"/>
        <v>0</v>
      </c>
      <c r="S28" s="2"/>
      <c r="T28" s="7">
        <v>10275</v>
      </c>
      <c r="U28" s="2"/>
      <c r="V28" s="6">
        <f t="shared" si="5"/>
        <v>0</v>
      </c>
      <c r="W28" s="2"/>
      <c r="X28" s="7">
        <f t="shared" si="6"/>
        <v>-1481.5300000000007</v>
      </c>
      <c r="Y28" s="2"/>
      <c r="Z28" s="6">
        <f t="shared" si="7"/>
        <v>-0.14418783454987841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90.44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-509.56</v>
      </c>
      <c r="M29" s="2"/>
      <c r="N29" s="6">
        <f t="shared" si="3"/>
        <v>-0.84926666666666673</v>
      </c>
      <c r="O29" s="11"/>
      <c r="P29" s="7">
        <v>1474.29</v>
      </c>
      <c r="Q29" s="2"/>
      <c r="R29" s="6">
        <f t="shared" si="4"/>
        <v>0</v>
      </c>
      <c r="S29" s="2"/>
      <c r="T29" s="7">
        <v>5400</v>
      </c>
      <c r="U29" s="2"/>
      <c r="V29" s="6">
        <f t="shared" si="5"/>
        <v>0</v>
      </c>
      <c r="W29" s="2"/>
      <c r="X29" s="7">
        <f t="shared" si="6"/>
        <v>-3925.71</v>
      </c>
      <c r="Y29" s="2"/>
      <c r="Z29" s="6">
        <f t="shared" si="7"/>
        <v>-0.72698333333333331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17848.189999999999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-1044.8869230769014</v>
      </c>
      <c r="M30" s="1"/>
      <c r="N30" s="5">
        <f t="shared" ref="N30:N40" si="11">IF(H30=0,0,L30/H30)</f>
        <v>-5.5305280729610912E-2</v>
      </c>
      <c r="O30" s="13"/>
      <c r="P30" s="1">
        <f>SUM(OSRRefP22_1x_0)</f>
        <v>181133.83</v>
      </c>
      <c r="Q30" s="1"/>
      <c r="R30" s="5">
        <f t="shared" ref="R30:R40" si="12">IF(P$12=0,0,P30/P$12)</f>
        <v>0</v>
      </c>
      <c r="S30" s="1"/>
      <c r="T30" s="1">
        <f>SUM(OSRRefT22_1x_0)</f>
        <v>189950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-8816.1700000000128</v>
      </c>
      <c r="Y30" s="1"/>
      <c r="Z30" s="5">
        <f t="shared" ref="Z30:Z40" si="15">IF(T30=0,0,X30/T30)</f>
        <v>-4.6413108712819229E-2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17848.189999999999</v>
      </c>
      <c r="E32" s="2"/>
      <c r="F32" s="6">
        <f t="shared" si="8"/>
        <v>0</v>
      </c>
      <c r="G32" s="2"/>
      <c r="H32" s="7">
        <v>15923.0769230769</v>
      </c>
      <c r="I32" s="2"/>
      <c r="J32" s="6">
        <f t="shared" si="9"/>
        <v>0</v>
      </c>
      <c r="K32" s="2"/>
      <c r="L32" s="7">
        <f t="shared" si="10"/>
        <v>1925.1130769230986</v>
      </c>
      <c r="M32" s="2"/>
      <c r="N32" s="6">
        <f t="shared" si="11"/>
        <v>0.12090082125604018</v>
      </c>
      <c r="O32" s="11"/>
      <c r="P32" s="7">
        <v>166920.59</v>
      </c>
      <c r="Q32" s="2"/>
      <c r="R32" s="6">
        <f t="shared" si="12"/>
        <v>0</v>
      </c>
      <c r="S32" s="2"/>
      <c r="T32" s="7">
        <v>155250</v>
      </c>
      <c r="U32" s="2"/>
      <c r="V32" s="6">
        <f t="shared" si="13"/>
        <v>0</v>
      </c>
      <c r="W32" s="2"/>
      <c r="X32" s="7">
        <f t="shared" si="14"/>
        <v>11670.589999999997</v>
      </c>
      <c r="Y32" s="2"/>
      <c r="Z32" s="6">
        <f t="shared" si="15"/>
        <v>7.517288244766504E-2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2970</v>
      </c>
      <c r="I34" s="2"/>
      <c r="J34" s="6">
        <f t="shared" si="9"/>
        <v>0</v>
      </c>
      <c r="K34" s="2"/>
      <c r="L34" s="7">
        <f t="shared" si="10"/>
        <v>-2970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34700</v>
      </c>
      <c r="U34" s="2"/>
      <c r="V34" s="6">
        <f t="shared" si="13"/>
        <v>0</v>
      </c>
      <c r="W34" s="2"/>
      <c r="X34" s="7">
        <f t="shared" si="14"/>
        <v>-20486.760000000002</v>
      </c>
      <c r="Y34" s="2"/>
      <c r="Z34" s="6">
        <f t="shared" si="15"/>
        <v>-0.59039654178674361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3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4994.03</v>
      </c>
      <c r="E43" s="1"/>
      <c r="F43" s="5">
        <f t="shared" si="16"/>
        <v>0</v>
      </c>
      <c r="G43" s="1"/>
      <c r="H43" s="1">
        <f>SUM(OSRRefH22_3x_0)</f>
        <v>4994</v>
      </c>
      <c r="I43" s="1"/>
      <c r="J43" s="5">
        <f t="shared" si="17"/>
        <v>0</v>
      </c>
      <c r="K43" s="1"/>
      <c r="L43" s="1">
        <f t="shared" si="18"/>
        <v>2.9999999999745341E-2</v>
      </c>
      <c r="M43" s="1"/>
      <c r="N43" s="5">
        <f t="shared" si="19"/>
        <v>6.0072086503294633E-6</v>
      </c>
      <c r="O43" s="13"/>
      <c r="P43" s="1">
        <f>SUM(OSRRefP22_3x_0)</f>
        <v>46516.79</v>
      </c>
      <c r="Q43" s="1"/>
      <c r="R43" s="5">
        <f t="shared" si="20"/>
        <v>0</v>
      </c>
      <c r="S43" s="1"/>
      <c r="T43" s="1">
        <f>SUM(OSRRefT22_3x_0)</f>
        <v>41254</v>
      </c>
      <c r="U43" s="1"/>
      <c r="V43" s="5">
        <f t="shared" si="21"/>
        <v>0</v>
      </c>
      <c r="W43" s="1"/>
      <c r="X43" s="1">
        <f t="shared" si="22"/>
        <v>5262.7900000000009</v>
      </c>
      <c r="Y43" s="1"/>
      <c r="Z43" s="5">
        <f t="shared" si="23"/>
        <v>0.12757041741406897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4994.03</v>
      </c>
      <c r="E44" s="2"/>
      <c r="F44" s="6">
        <f t="shared" si="16"/>
        <v>0</v>
      </c>
      <c r="G44" s="2"/>
      <c r="H44" s="7">
        <v>4994</v>
      </c>
      <c r="I44" s="2"/>
      <c r="J44" s="6">
        <f t="shared" si="17"/>
        <v>0</v>
      </c>
      <c r="K44" s="2"/>
      <c r="L44" s="7">
        <f t="shared" si="18"/>
        <v>2.9999999999745341E-2</v>
      </c>
      <c r="M44" s="2"/>
      <c r="N44" s="6">
        <f t="shared" si="19"/>
        <v>6.0072086503294633E-6</v>
      </c>
      <c r="O44" s="11"/>
      <c r="P44" s="7">
        <v>46516.79</v>
      </c>
      <c r="Q44" s="2"/>
      <c r="R44" s="6">
        <f t="shared" si="20"/>
        <v>0</v>
      </c>
      <c r="S44" s="2"/>
      <c r="T44" s="7">
        <v>41154</v>
      </c>
      <c r="U44" s="2"/>
      <c r="V44" s="6">
        <f t="shared" si="21"/>
        <v>0</v>
      </c>
      <c r="W44" s="2"/>
      <c r="X44" s="7">
        <f t="shared" si="22"/>
        <v>5362.7900000000009</v>
      </c>
      <c r="Y44" s="2"/>
      <c r="Z44" s="6">
        <f t="shared" si="23"/>
        <v>0.13031029790542842</v>
      </c>
    </row>
    <row r="45" spans="1:26" s="24" customFormat="1" hidden="1" outlineLevel="2" x14ac:dyDescent="0.25">
      <c r="A45" s="26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3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5" customFormat="1" outlineLevel="1" collapsed="1" x14ac:dyDescent="0.25">
      <c r="A50" s="27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3"/>
      <c r="P50" s="1">
        <f>SUM(OSRRefP22_6x_0)</f>
        <v>507.06</v>
      </c>
      <c r="Q50" s="1"/>
      <c r="R50" s="5">
        <f t="shared" si="28"/>
        <v>0</v>
      </c>
      <c r="S50" s="1"/>
      <c r="T50" s="1">
        <f>SUM(OSRRefT22_6x_0)</f>
        <v>1088</v>
      </c>
      <c r="U50" s="1"/>
      <c r="V50" s="5">
        <f t="shared" si="29"/>
        <v>0</v>
      </c>
      <c r="W50" s="1"/>
      <c r="X50" s="1">
        <f t="shared" si="30"/>
        <v>-580.94000000000005</v>
      </c>
      <c r="Y50" s="1"/>
      <c r="Z50" s="5">
        <f t="shared" si="31"/>
        <v>-0.53395220588235304</v>
      </c>
    </row>
    <row r="51" spans="1:26" s="24" customFormat="1" hidden="1" outlineLevel="2" x14ac:dyDescent="0.25">
      <c r="A51" s="26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507.06</v>
      </c>
      <c r="Q51" s="2"/>
      <c r="R51" s="6">
        <f t="shared" si="28"/>
        <v>0</v>
      </c>
      <c r="S51" s="2"/>
      <c r="T51" s="7">
        <v>1088</v>
      </c>
      <c r="U51" s="2"/>
      <c r="V51" s="6">
        <f t="shared" si="29"/>
        <v>0</v>
      </c>
      <c r="W51" s="2"/>
      <c r="X51" s="7">
        <f t="shared" si="30"/>
        <v>-580.94000000000005</v>
      </c>
      <c r="Y51" s="2"/>
      <c r="Z51" s="6">
        <f t="shared" si="31"/>
        <v>-0.53395220588235304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15209.5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299.5</v>
      </c>
      <c r="M52" s="1"/>
      <c r="N52" s="5">
        <f t="shared" si="27"/>
        <v>2.0087189805499665E-2</v>
      </c>
      <c r="O52" s="13"/>
      <c r="P52" s="1">
        <f>SUM(OSRRefP22_7x_0)</f>
        <v>113360.48</v>
      </c>
      <c r="Q52" s="1"/>
      <c r="R52" s="5">
        <f t="shared" si="28"/>
        <v>0</v>
      </c>
      <c r="S52" s="1"/>
      <c r="T52" s="1">
        <f>SUM(OSRRefT22_7x_0)</f>
        <v>121740</v>
      </c>
      <c r="U52" s="1"/>
      <c r="V52" s="5">
        <f t="shared" si="29"/>
        <v>0</v>
      </c>
      <c r="W52" s="1"/>
      <c r="X52" s="1">
        <f t="shared" si="30"/>
        <v>-8379.5200000000041</v>
      </c>
      <c r="Y52" s="1"/>
      <c r="Z52" s="5">
        <f t="shared" si="31"/>
        <v>-6.8831279776573051E-2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3217.5</v>
      </c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2557.5</v>
      </c>
      <c r="M53" s="2"/>
      <c r="N53" s="6">
        <f t="shared" si="27"/>
        <v>3.875</v>
      </c>
      <c r="O53" s="11"/>
      <c r="P53" s="7">
        <v>4067.48</v>
      </c>
      <c r="Q53" s="2"/>
      <c r="R53" s="6">
        <f t="shared" si="28"/>
        <v>0</v>
      </c>
      <c r="S53" s="2"/>
      <c r="T53" s="7">
        <v>5940</v>
      </c>
      <c r="U53" s="2"/>
      <c r="V53" s="6">
        <f t="shared" si="29"/>
        <v>0</v>
      </c>
      <c r="W53" s="2"/>
      <c r="X53" s="7">
        <f t="shared" si="30"/>
        <v>-1872.52</v>
      </c>
      <c r="Y53" s="2"/>
      <c r="Z53" s="6">
        <f t="shared" si="31"/>
        <v>-0.31523905723905726</v>
      </c>
    </row>
    <row r="54" spans="1:26" s="24" customFormat="1" hidden="1" outlineLevel="2" x14ac:dyDescent="0.25">
      <c r="A54" s="26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14400</v>
      </c>
      <c r="U54" s="2"/>
      <c r="V54" s="6">
        <f t="shared" si="29"/>
        <v>0</v>
      </c>
      <c r="W54" s="2"/>
      <c r="X54" s="7">
        <f t="shared" si="30"/>
        <v>-14400</v>
      </c>
      <c r="Y54" s="2"/>
      <c r="Z54" s="6">
        <f t="shared" si="31"/>
        <v>-1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11992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-658</v>
      </c>
      <c r="M55" s="2"/>
      <c r="N55" s="6">
        <f t="shared" si="27"/>
        <v>-5.2015810276679841E-2</v>
      </c>
      <c r="O55" s="11"/>
      <c r="P55" s="7">
        <v>109293</v>
      </c>
      <c r="Q55" s="2"/>
      <c r="R55" s="6">
        <f t="shared" si="28"/>
        <v>0</v>
      </c>
      <c r="S55" s="2"/>
      <c r="T55" s="7">
        <v>101400</v>
      </c>
      <c r="U55" s="2"/>
      <c r="V55" s="6">
        <f t="shared" si="29"/>
        <v>0</v>
      </c>
      <c r="W55" s="2"/>
      <c r="X55" s="7">
        <f t="shared" si="30"/>
        <v>7893</v>
      </c>
      <c r="Y55" s="2"/>
      <c r="Z55" s="6">
        <f t="shared" si="31"/>
        <v>7.7840236686390535E-2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3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1800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-1800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25">
      <c r="A58" s="26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900</v>
      </c>
      <c r="U58" s="2"/>
      <c r="V58" s="6">
        <f t="shared" si="37"/>
        <v>0</v>
      </c>
      <c r="W58" s="2"/>
      <c r="X58" s="7">
        <f t="shared" si="38"/>
        <v>-900</v>
      </c>
      <c r="Y58" s="2"/>
      <c r="Z58" s="6">
        <f t="shared" si="39"/>
        <v>-1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SUM(OSRRefD22_9x_0)</f>
        <v>392.29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92.29000000000002</v>
      </c>
      <c r="M59" s="1"/>
      <c r="N59" s="5">
        <f t="shared" ref="N59:N63" si="43">IF(H59=0,0,L59/H59)</f>
        <v>0.30763333333333343</v>
      </c>
      <c r="O59" s="13"/>
      <c r="P59" s="1">
        <f>SUM(OSRRefP22_9x_0)</f>
        <v>-1787.22</v>
      </c>
      <c r="Q59" s="1"/>
      <c r="R59" s="5">
        <f t="shared" ref="R59:R63" si="44">IF(P$12=0,0,P59/P$12)</f>
        <v>0</v>
      </c>
      <c r="S59" s="1"/>
      <c r="T59" s="1">
        <f>SUM(OSRRefT22_9x_0)</f>
        <v>2700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-4487.22</v>
      </c>
      <c r="Y59" s="1"/>
      <c r="Z59" s="5">
        <f t="shared" ref="Z59:Z63" si="47">IF(T59=0,0,X59/T59)</f>
        <v>-1.6619333333333335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>
        <v>392.29</v>
      </c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92.29000000000002</v>
      </c>
      <c r="M60" s="2"/>
      <c r="N60" s="6">
        <f t="shared" si="43"/>
        <v>0.30763333333333343</v>
      </c>
      <c r="O60" s="11"/>
      <c r="P60" s="7">
        <v>-1787.22</v>
      </c>
      <c r="Q60" s="2"/>
      <c r="R60" s="6">
        <f t="shared" si="44"/>
        <v>0</v>
      </c>
      <c r="S60" s="2"/>
      <c r="T60" s="7">
        <v>2700</v>
      </c>
      <c r="U60" s="2"/>
      <c r="V60" s="6">
        <f t="shared" si="45"/>
        <v>0</v>
      </c>
      <c r="W60" s="2"/>
      <c r="X60" s="7">
        <f t="shared" si="46"/>
        <v>-4487.22</v>
      </c>
      <c r="Y60" s="2"/>
      <c r="Z60" s="6">
        <f t="shared" si="47"/>
        <v>-1.6619333333333335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664.67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269.66999999999996</v>
      </c>
      <c r="M61" s="1"/>
      <c r="N61" s="5">
        <f t="shared" si="43"/>
        <v>0.68270886075949355</v>
      </c>
      <c r="O61" s="13"/>
      <c r="P61" s="1">
        <f>SUM(OSRRefP22_10x_0)</f>
        <v>6897.74</v>
      </c>
      <c r="Q61" s="1"/>
      <c r="R61" s="5">
        <f t="shared" si="44"/>
        <v>0</v>
      </c>
      <c r="S61" s="1"/>
      <c r="T61" s="1">
        <f>SUM(OSRRefT22_10x_0)</f>
        <v>3555</v>
      </c>
      <c r="U61" s="1"/>
      <c r="V61" s="5">
        <f t="shared" si="45"/>
        <v>0</v>
      </c>
      <c r="W61" s="1"/>
      <c r="X61" s="1">
        <f t="shared" si="46"/>
        <v>3342.74</v>
      </c>
      <c r="Y61" s="1"/>
      <c r="Z61" s="5">
        <f t="shared" si="47"/>
        <v>0.94029254571026721</v>
      </c>
    </row>
    <row r="62" spans="1:26" s="24" customFormat="1" hidden="1" outlineLevel="2" x14ac:dyDescent="0.25">
      <c r="A62" s="26"/>
      <c r="B62" s="11" t="str">
        <f>CONCATENATE("          ", "6303", " - ", "DATA PHONE LINES")</f>
        <v xml:space="preserve">          6303 - DATA PHONE LINES</v>
      </c>
      <c r="C62" s="11"/>
      <c r="D62" s="7">
        <v>238.97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-96.03</v>
      </c>
      <c r="M62" s="2"/>
      <c r="N62" s="6">
        <f t="shared" si="43"/>
        <v>-0.28665671641791046</v>
      </c>
      <c r="O62" s="11"/>
      <c r="P62" s="7">
        <v>1241.8399999999999</v>
      </c>
      <c r="Q62" s="2"/>
      <c r="R62" s="6">
        <f t="shared" si="44"/>
        <v>0</v>
      </c>
      <c r="S62" s="2"/>
      <c r="T62" s="7">
        <v>3015</v>
      </c>
      <c r="U62" s="2"/>
      <c r="V62" s="6">
        <f t="shared" si="45"/>
        <v>0</v>
      </c>
      <c r="W62" s="2"/>
      <c r="X62" s="7">
        <f t="shared" si="46"/>
        <v>-1773.16</v>
      </c>
      <c r="Y62" s="2"/>
      <c r="Z62" s="6">
        <f t="shared" si="47"/>
        <v>-0.58811276948590385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425.7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365.7</v>
      </c>
      <c r="M63" s="2"/>
      <c r="N63" s="6">
        <f t="shared" si="43"/>
        <v>6.0949999999999998</v>
      </c>
      <c r="O63" s="11"/>
      <c r="P63" s="7">
        <v>5655.9</v>
      </c>
      <c r="Q63" s="2"/>
      <c r="R63" s="6">
        <f t="shared" si="44"/>
        <v>0</v>
      </c>
      <c r="S63" s="2"/>
      <c r="T63" s="7">
        <v>540</v>
      </c>
      <c r="U63" s="2"/>
      <c r="V63" s="6">
        <f t="shared" si="45"/>
        <v>0</v>
      </c>
      <c r="W63" s="2"/>
      <c r="X63" s="7">
        <f t="shared" si="46"/>
        <v>5115.8999999999996</v>
      </c>
      <c r="Y63" s="2"/>
      <c r="Z63" s="6">
        <f t="shared" si="47"/>
        <v>9.4738888888888884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399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399</v>
      </c>
      <c r="M64" s="1"/>
      <c r="N64" s="5">
        <f t="shared" ref="N64:N67" si="51">IF(H64=0,0,L64/H64)</f>
        <v>0</v>
      </c>
      <c r="O64" s="13"/>
      <c r="P64" s="1">
        <f>SUM(OSRRefP22_11x_0)</f>
        <v>498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498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>
        <v>399</v>
      </c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399</v>
      </c>
      <c r="M65" s="2"/>
      <c r="N65" s="6">
        <f t="shared" si="51"/>
        <v>0</v>
      </c>
      <c r="O65" s="11"/>
      <c r="P65" s="7">
        <v>498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498</v>
      </c>
      <c r="Y65" s="2"/>
      <c r="Z65" s="6">
        <f t="shared" si="55"/>
        <v>0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5625</v>
      </c>
      <c r="U66" s="1"/>
      <c r="V66" s="5">
        <f t="shared" si="53"/>
        <v>0</v>
      </c>
      <c r="W66" s="1"/>
      <c r="X66" s="1">
        <f t="shared" si="54"/>
        <v>-5625</v>
      </c>
      <c r="Y66" s="1"/>
      <c r="Z66" s="5">
        <f t="shared" si="55"/>
        <v>-1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5625</v>
      </c>
      <c r="U67" s="2"/>
      <c r="V67" s="6">
        <f t="shared" si="53"/>
        <v>0</v>
      </c>
      <c r="W67" s="2"/>
      <c r="X67" s="7">
        <f t="shared" si="54"/>
        <v>-5625</v>
      </c>
      <c r="Y67" s="2"/>
      <c r="Z67" s="6">
        <f t="shared" si="55"/>
        <v>-1</v>
      </c>
    </row>
    <row r="68" spans="1:26" s="59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277</v>
      </c>
      <c r="C71" s="29"/>
      <c r="D71" s="20">
        <f>+D16-D18+D69</f>
        <v>-50075.959999999992</v>
      </c>
      <c r="E71" s="14"/>
      <c r="F71" s="21">
        <f>IF(D$12=0,0,D71/D$12)</f>
        <v>0</v>
      </c>
      <c r="G71" s="14"/>
      <c r="H71" s="20">
        <f>+H16-H18+H69</f>
        <v>-51259.722846153818</v>
      </c>
      <c r="I71" s="14"/>
      <c r="J71" s="21">
        <f>IF(H$12=0,0,H71/H$12)</f>
        <v>0</v>
      </c>
      <c r="K71" s="16"/>
      <c r="L71" s="20">
        <f>+D71-H71</f>
        <v>1183.7628461538261</v>
      </c>
      <c r="M71" s="16"/>
      <c r="N71" s="21">
        <f>IF(H71=0,0,L71/H71)</f>
        <v>-2.3093430483552599E-2</v>
      </c>
      <c r="O71" s="28"/>
      <c r="P71" s="20">
        <f>+P16-P18+P69</f>
        <v>-456160.60000000003</v>
      </c>
      <c r="Q71" s="14"/>
      <c r="R71" s="21">
        <f>IF(P$12=0,0,P71/P$12)</f>
        <v>0</v>
      </c>
      <c r="S71" s="14"/>
      <c r="T71" s="20">
        <f>+T16-T18+T69</f>
        <v>-474582.93807692314</v>
      </c>
      <c r="U71" s="14"/>
      <c r="V71" s="21">
        <f>IF(T$12=0,0,T71/T$12)</f>
        <v>0</v>
      </c>
      <c r="W71" s="16"/>
      <c r="X71" s="20">
        <f>+P71-T71</f>
        <v>18422.338076923101</v>
      </c>
      <c r="Y71" s="16"/>
      <c r="Z71" s="21">
        <f>IF(T71=0,0,X71/T71)</f>
        <v>-3.8817952772539625E-2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126</v>
      </c>
      <c r="C75" s="29"/>
      <c r="D75" s="34">
        <f>+D71-D73</f>
        <v>-50075.959999999992</v>
      </c>
      <c r="E75" s="14"/>
      <c r="F75" s="30">
        <f>IF(D$12=0,0,D75/D$12)</f>
        <v>0</v>
      </c>
      <c r="G75" s="14"/>
      <c r="H75" s="34">
        <f>+H71-H73</f>
        <v>-51259.722846153818</v>
      </c>
      <c r="I75" s="14"/>
      <c r="J75" s="30">
        <f>IF(H$12=0,0,H75/H$12)</f>
        <v>0</v>
      </c>
      <c r="K75" s="16"/>
      <c r="L75" s="34">
        <f>D75-H75</f>
        <v>1183.7628461538261</v>
      </c>
      <c r="M75" s="16"/>
      <c r="N75" s="30">
        <f>IF(H75=0,0,L75/H75)</f>
        <v>-2.3093430483552599E-2</v>
      </c>
      <c r="O75" s="28"/>
      <c r="P75" s="34">
        <f>+P71-P73</f>
        <v>-456160.60000000003</v>
      </c>
      <c r="Q75" s="14"/>
      <c r="R75" s="30">
        <f>IF(P$12=0,0,P75/P$12)</f>
        <v>0</v>
      </c>
      <c r="S75" s="14"/>
      <c r="T75" s="34">
        <f>+T71-T73</f>
        <v>-474582.93807692314</v>
      </c>
      <c r="U75" s="14"/>
      <c r="V75" s="30">
        <f>IF(T$12=0,0,T75/T$12)</f>
        <v>0</v>
      </c>
      <c r="W75" s="16"/>
      <c r="X75" s="34">
        <f>P75-T75</f>
        <v>18422.338076923101</v>
      </c>
      <c r="Y75" s="16"/>
      <c r="Z75" s="30">
        <f>IF(T75=0,0,X75/T75)</f>
        <v>-3.8817952772539625E-2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294</v>
      </c>
      <c r="C78" s="29"/>
      <c r="D78" s="31">
        <f>SUM(D75:D77)</f>
        <v>-50075.959999999992</v>
      </c>
      <c r="E78" s="14"/>
      <c r="F78" s="35">
        <f>IF(D$12=0,0,D78/D$12)</f>
        <v>0</v>
      </c>
      <c r="G78" s="14"/>
      <c r="H78" s="31">
        <f>SUM(H75:H77)</f>
        <v>-51259.722846153818</v>
      </c>
      <c r="I78" s="14"/>
      <c r="J78" s="35">
        <f>IF(H$12=0,0,H78/H$12)</f>
        <v>0</v>
      </c>
      <c r="K78" s="16"/>
      <c r="L78" s="31">
        <f>+D78-H78</f>
        <v>1183.7628461538261</v>
      </c>
      <c r="M78" s="16"/>
      <c r="N78" s="35">
        <f>IF(H78=0,0,L78/H78)</f>
        <v>-2.3093430483552599E-2</v>
      </c>
      <c r="O78" s="28"/>
      <c r="P78" s="31">
        <f>SUM(P75:P77)</f>
        <v>-456160.60000000003</v>
      </c>
      <c r="Q78" s="14"/>
      <c r="R78" s="35">
        <f>IF(P$12=0,0,P78/P$12)</f>
        <v>0</v>
      </c>
      <c r="S78" s="14"/>
      <c r="T78" s="31">
        <f>SUM(T75:T77)</f>
        <v>-474582.93807692314</v>
      </c>
      <c r="U78" s="14"/>
      <c r="V78" s="35">
        <f>IF(T$12=0,0,T78/T$12)</f>
        <v>0</v>
      </c>
      <c r="W78" s="16"/>
      <c r="X78" s="31">
        <f>+P78-T78</f>
        <v>18422.338076923101</v>
      </c>
      <c r="Y78" s="16"/>
      <c r="Z78" s="35">
        <f>IF(T78=0,0,X78/T78)</f>
        <v>-3.8817952772539625E-2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44295.961797766206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3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7931.51</v>
      </c>
      <c r="E18" s="22"/>
      <c r="F18" s="32">
        <f t="shared" ref="F18:F28" si="0">IF(D$12=0,0,D18/D$12)</f>
        <v>0</v>
      </c>
      <c r="G18" s="22"/>
      <c r="H18" s="22">
        <f>SUM(OSRRefH22x_0)</f>
        <v>7140.2521538461542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791.257846153846</v>
      </c>
      <c r="M18" s="4"/>
      <c r="N18" s="32">
        <f t="shared" ref="N18:N28" si="3">IF(H18=0,0,L18/H18)</f>
        <v>0.11081651307336934</v>
      </c>
      <c r="O18" s="10"/>
      <c r="P18" s="22">
        <f>SUM(OSRRefP22x_0)</f>
        <v>70378.329999999987</v>
      </c>
      <c r="Q18" s="22"/>
      <c r="R18" s="32">
        <f t="shared" ref="R18:R28" si="4">IF(P$12=0,0,P18/P$12)</f>
        <v>0</v>
      </c>
      <c r="S18" s="22"/>
      <c r="T18" s="22">
        <f>SUM(OSRRefT22x_0)</f>
        <v>73134.708500000008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-2756.3785000000207</v>
      </c>
      <c r="Y18" s="4"/>
      <c r="Z18" s="32">
        <f t="shared" ref="Z18:Z28" si="7">IF(T18=0,0,X18/T18)</f>
        <v>-3.7689061138460961E-2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2547.5399999999995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722.28784615384529</v>
      </c>
      <c r="M19" s="1"/>
      <c r="N19" s="5">
        <f t="shared" si="3"/>
        <v>0.39571948710310906</v>
      </c>
      <c r="O19" s="13"/>
      <c r="P19" s="1">
        <f>SUM(OSRRefP22_0x_0)</f>
        <v>22456.63</v>
      </c>
      <c r="Q19" s="1"/>
      <c r="R19" s="5">
        <f t="shared" si="4"/>
        <v>0</v>
      </c>
      <c r="S19" s="1"/>
      <c r="T19" s="1">
        <f>SUM(OSRRefT22_0x_0)</f>
        <v>17796.208500000001</v>
      </c>
      <c r="U19" s="1"/>
      <c r="V19" s="5">
        <f t="shared" si="5"/>
        <v>0</v>
      </c>
      <c r="W19" s="1"/>
      <c r="X19" s="1">
        <f t="shared" si="6"/>
        <v>4660.4215000000004</v>
      </c>
      <c r="Y19" s="1"/>
      <c r="Z19" s="5">
        <f t="shared" si="7"/>
        <v>0.2618772139020511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323.81</v>
      </c>
      <c r="E20" s="2"/>
      <c r="F20" s="6">
        <f t="shared" si="0"/>
        <v>0</v>
      </c>
      <c r="G20" s="2"/>
      <c r="H20" s="7">
        <v>321.42599999999999</v>
      </c>
      <c r="I20" s="2"/>
      <c r="J20" s="6">
        <f t="shared" si="1"/>
        <v>0</v>
      </c>
      <c r="K20" s="2"/>
      <c r="L20" s="7">
        <f t="shared" si="2"/>
        <v>2.3840000000000146</v>
      </c>
      <c r="M20" s="2"/>
      <c r="N20" s="6">
        <f t="shared" si="3"/>
        <v>7.4169482244747301E-3</v>
      </c>
      <c r="O20" s="11"/>
      <c r="P20" s="7">
        <v>3027.87</v>
      </c>
      <c r="Q20" s="2"/>
      <c r="R20" s="6">
        <f t="shared" si="4"/>
        <v>0</v>
      </c>
      <c r="S20" s="2"/>
      <c r="T20" s="7">
        <v>3133.9034999999999</v>
      </c>
      <c r="U20" s="2"/>
      <c r="V20" s="6">
        <f t="shared" si="5"/>
        <v>0</v>
      </c>
      <c r="W20" s="2"/>
      <c r="X20" s="7">
        <f t="shared" si="6"/>
        <v>-106.0335</v>
      </c>
      <c r="Y20" s="2"/>
      <c r="Z20" s="6">
        <f t="shared" si="7"/>
        <v>-3.3834321956626938E-2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292.88</v>
      </c>
      <c r="E21" s="2"/>
      <c r="F21" s="6">
        <f t="shared" si="0"/>
        <v>0</v>
      </c>
      <c r="G21" s="2"/>
      <c r="H21" s="7">
        <v>291.06</v>
      </c>
      <c r="I21" s="2"/>
      <c r="J21" s="6">
        <f t="shared" si="1"/>
        <v>0</v>
      </c>
      <c r="K21" s="2"/>
      <c r="L21" s="7">
        <f t="shared" si="2"/>
        <v>1.8199999999999932</v>
      </c>
      <c r="M21" s="2"/>
      <c r="N21" s="6">
        <f t="shared" si="3"/>
        <v>6.2530062530062299E-3</v>
      </c>
      <c r="O21" s="11"/>
      <c r="P21" s="7">
        <v>2741.58</v>
      </c>
      <c r="Q21" s="2"/>
      <c r="R21" s="6">
        <f t="shared" si="4"/>
        <v>0</v>
      </c>
      <c r="S21" s="2"/>
      <c r="T21" s="7">
        <v>2837.835</v>
      </c>
      <c r="U21" s="2"/>
      <c r="V21" s="6">
        <f t="shared" si="5"/>
        <v>0</v>
      </c>
      <c r="W21" s="2"/>
      <c r="X21" s="7">
        <f t="shared" si="6"/>
        <v>-96.255000000000109</v>
      </c>
      <c r="Y21" s="2"/>
      <c r="Z21" s="6">
        <f t="shared" si="7"/>
        <v>-3.3918462489891096E-2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699.91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86.06384615384593</v>
      </c>
      <c r="M22" s="2"/>
      <c r="N22" s="6">
        <f t="shared" si="3"/>
        <v>0.14020426065162866</v>
      </c>
      <c r="O22" s="11"/>
      <c r="P22" s="7">
        <v>6276.69</v>
      </c>
      <c r="Q22" s="2"/>
      <c r="R22" s="6">
        <f t="shared" si="4"/>
        <v>0</v>
      </c>
      <c r="S22" s="2"/>
      <c r="T22" s="7">
        <v>5985</v>
      </c>
      <c r="U22" s="2"/>
      <c r="V22" s="6">
        <f t="shared" si="5"/>
        <v>0</v>
      </c>
      <c r="W22" s="2"/>
      <c r="X22" s="7">
        <f t="shared" si="6"/>
        <v>291.6899999999996</v>
      </c>
      <c r="Y22" s="2"/>
      <c r="Z22" s="6">
        <f t="shared" si="7"/>
        <v>4.8736842105263092E-2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10.99</v>
      </c>
      <c r="E23" s="2"/>
      <c r="F23" s="6">
        <f t="shared" si="0"/>
        <v>0</v>
      </c>
      <c r="G23" s="2"/>
      <c r="H23" s="7">
        <v>10.92</v>
      </c>
      <c r="I23" s="2"/>
      <c r="J23" s="6">
        <f t="shared" si="1"/>
        <v>0</v>
      </c>
      <c r="K23" s="2"/>
      <c r="L23" s="7">
        <f t="shared" si="2"/>
        <v>7.0000000000000284E-2</v>
      </c>
      <c r="M23" s="2"/>
      <c r="N23" s="6">
        <f t="shared" si="3"/>
        <v>6.4102564102564361E-3</v>
      </c>
      <c r="O23" s="11"/>
      <c r="P23" s="7">
        <v>102.87</v>
      </c>
      <c r="Q23" s="2"/>
      <c r="R23" s="6">
        <f t="shared" si="4"/>
        <v>0</v>
      </c>
      <c r="S23" s="2"/>
      <c r="T23" s="7">
        <v>106.47</v>
      </c>
      <c r="U23" s="2"/>
      <c r="V23" s="6">
        <f t="shared" si="5"/>
        <v>0</v>
      </c>
      <c r="W23" s="2"/>
      <c r="X23" s="7">
        <f t="shared" si="6"/>
        <v>-3.5999999999999943</v>
      </c>
      <c r="Y23" s="2"/>
      <c r="Z23" s="6">
        <f t="shared" si="7"/>
        <v>-3.3812341504649145E-2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4632.71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4632.71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420</v>
      </c>
      <c r="I26" s="2"/>
      <c r="J26" s="6">
        <f t="shared" si="1"/>
        <v>0</v>
      </c>
      <c r="K26" s="2"/>
      <c r="L26" s="7">
        <f t="shared" si="2"/>
        <v>-32.04000000000002</v>
      </c>
      <c r="M26" s="2"/>
      <c r="N26" s="6">
        <f t="shared" si="3"/>
        <v>-7.6285714285714332E-2</v>
      </c>
      <c r="O26" s="11"/>
      <c r="P26" s="7">
        <v>2585.7800000000002</v>
      </c>
      <c r="Q26" s="2"/>
      <c r="R26" s="6">
        <f t="shared" si="4"/>
        <v>0</v>
      </c>
      <c r="S26" s="2"/>
      <c r="T26" s="7">
        <v>4095</v>
      </c>
      <c r="U26" s="2"/>
      <c r="V26" s="6">
        <f t="shared" si="5"/>
        <v>0</v>
      </c>
      <c r="W26" s="2"/>
      <c r="X26" s="7">
        <f t="shared" si="6"/>
        <v>-1509.2199999999998</v>
      </c>
      <c r="Y26" s="2"/>
      <c r="Z26" s="6">
        <f t="shared" si="7"/>
        <v>-0.36855189255189252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168</v>
      </c>
      <c r="I27" s="2"/>
      <c r="J27" s="6">
        <f t="shared" si="1"/>
        <v>0</v>
      </c>
      <c r="K27" s="2"/>
      <c r="L27" s="7">
        <f t="shared" si="2"/>
        <v>25.72</v>
      </c>
      <c r="M27" s="2"/>
      <c r="N27" s="6">
        <f t="shared" si="3"/>
        <v>0.15309523809523809</v>
      </c>
      <c r="O27" s="11"/>
      <c r="P27" s="7">
        <v>1840.34</v>
      </c>
      <c r="Q27" s="2"/>
      <c r="R27" s="6">
        <f t="shared" si="4"/>
        <v>0</v>
      </c>
      <c r="S27" s="2"/>
      <c r="T27" s="7">
        <v>1638</v>
      </c>
      <c r="U27" s="2"/>
      <c r="V27" s="6">
        <f t="shared" si="5"/>
        <v>0</v>
      </c>
      <c r="W27" s="2"/>
      <c r="X27" s="7">
        <f t="shared" si="6"/>
        <v>202.33999999999992</v>
      </c>
      <c r="Y27" s="2"/>
      <c r="Z27" s="6">
        <f t="shared" si="7"/>
        <v>0.12352869352869347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175</v>
      </c>
      <c r="M28" s="2"/>
      <c r="N28" s="6">
        <f t="shared" si="3"/>
        <v>0</v>
      </c>
      <c r="O28" s="11"/>
      <c r="P28" s="7">
        <v>1248.79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1248.79</v>
      </c>
      <c r="Y28" s="2"/>
      <c r="Z28" s="6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4294.43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556.43000000000029</v>
      </c>
      <c r="M29" s="1"/>
      <c r="N29" s="5">
        <f t="shared" ref="N29:N39" si="11">IF(H29=0,0,L29/H29)</f>
        <v>0.1488576779026218</v>
      </c>
      <c r="O29" s="13"/>
      <c r="P29" s="1">
        <f>SUM(OSRRefP22_1x_0)</f>
        <v>38042.39</v>
      </c>
      <c r="Q29" s="1"/>
      <c r="R29" s="5">
        <f t="shared" ref="R29:R39" si="12">IF(P$12=0,0,P29/P$12)</f>
        <v>0</v>
      </c>
      <c r="S29" s="1"/>
      <c r="T29" s="1">
        <f>SUM(OSRRefT22_1x_0)</f>
        <v>36445.5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1596.8899999999994</v>
      </c>
      <c r="Y29" s="1"/>
      <c r="Z29" s="5">
        <f t="shared" ref="Z29:Z39" si="15">IF(T29=0,0,X29/T29)</f>
        <v>4.3815834602351438E-2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4294.43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4294.43</v>
      </c>
      <c r="M31" s="2"/>
      <c r="N31" s="6">
        <f t="shared" si="11"/>
        <v>0</v>
      </c>
      <c r="O31" s="11"/>
      <c r="P31" s="7">
        <v>38042.39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38042.39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3738</v>
      </c>
      <c r="I33" s="2"/>
      <c r="J33" s="6">
        <f t="shared" si="9"/>
        <v>0</v>
      </c>
      <c r="K33" s="2"/>
      <c r="L33" s="7">
        <f t="shared" si="10"/>
        <v>-3738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36445.5</v>
      </c>
      <c r="U33" s="2"/>
      <c r="V33" s="6">
        <f t="shared" si="13"/>
        <v>0</v>
      </c>
      <c r="W33" s="2"/>
      <c r="X33" s="7">
        <f t="shared" si="14"/>
        <v>-36445.5</v>
      </c>
      <c r="Y33" s="2"/>
      <c r="Z33" s="6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3"/>
      <c r="P40" s="1">
        <f>SUM(OSRRefP22_2x_0)</f>
        <v>-238.8</v>
      </c>
      <c r="Q40" s="1"/>
      <c r="R40" s="5">
        <f t="shared" ref="R40:R46" si="20">IF(P$12=0,0,P40/P$12)</f>
        <v>0</v>
      </c>
      <c r="S40" s="1"/>
      <c r="T40" s="1">
        <f>SUM(OSRRefT22_2x_0)</f>
        <v>-750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511.2</v>
      </c>
      <c r="Y40" s="1"/>
      <c r="Z40" s="5">
        <f t="shared" ref="Z40:Z46" si="23">IF(T40=0,0,X40/T40)</f>
        <v>-0.68159999999999998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-150</v>
      </c>
      <c r="I41" s="2"/>
      <c r="J41" s="6">
        <f t="shared" si="17"/>
        <v>0</v>
      </c>
      <c r="K41" s="2"/>
      <c r="L41" s="7">
        <f t="shared" si="18"/>
        <v>150</v>
      </c>
      <c r="M41" s="2"/>
      <c r="N41" s="6">
        <f t="shared" si="19"/>
        <v>-1</v>
      </c>
      <c r="O41" s="11"/>
      <c r="P41" s="7">
        <v>-238.8</v>
      </c>
      <c r="Q41" s="2"/>
      <c r="R41" s="6">
        <f t="shared" si="20"/>
        <v>0</v>
      </c>
      <c r="S41" s="2"/>
      <c r="T41" s="7">
        <v>-750</v>
      </c>
      <c r="U41" s="2"/>
      <c r="V41" s="6">
        <f t="shared" si="21"/>
        <v>0</v>
      </c>
      <c r="W41" s="2"/>
      <c r="X41" s="7">
        <f t="shared" si="22"/>
        <v>511.2</v>
      </c>
      <c r="Y41" s="2"/>
      <c r="Z41" s="6">
        <f t="shared" si="23"/>
        <v>-0.68159999999999998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3"/>
      <c r="P42" s="1">
        <f>SUM(OSRRefP22_3x_0)</f>
        <v>221.04</v>
      </c>
      <c r="Q42" s="1"/>
      <c r="R42" s="5">
        <f t="shared" si="20"/>
        <v>0</v>
      </c>
      <c r="S42" s="1"/>
      <c r="T42" s="1">
        <f>SUM(OSRRefT22_3x_0)</f>
        <v>243</v>
      </c>
      <c r="U42" s="1"/>
      <c r="V42" s="5">
        <f t="shared" si="21"/>
        <v>0</v>
      </c>
      <c r="W42" s="1"/>
      <c r="X42" s="1">
        <f t="shared" si="22"/>
        <v>-21.960000000000008</v>
      </c>
      <c r="Y42" s="1"/>
      <c r="Z42" s="5">
        <f t="shared" si="23"/>
        <v>-9.0370370370370406E-2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221.04</v>
      </c>
      <c r="Q43" s="2"/>
      <c r="R43" s="6">
        <f t="shared" si="20"/>
        <v>0</v>
      </c>
      <c r="S43" s="2"/>
      <c r="T43" s="7">
        <v>243</v>
      </c>
      <c r="U43" s="2"/>
      <c r="V43" s="6">
        <f t="shared" si="21"/>
        <v>0</v>
      </c>
      <c r="W43" s="2"/>
      <c r="X43" s="7">
        <f t="shared" si="22"/>
        <v>-21.960000000000008</v>
      </c>
      <c r="Y43" s="2"/>
      <c r="Z43" s="6">
        <f t="shared" si="23"/>
        <v>-9.0370370370370406E-2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-608.02</v>
      </c>
      <c r="M44" s="1"/>
      <c r="N44" s="5">
        <f t="shared" si="19"/>
        <v>-0.40534666666666663</v>
      </c>
      <c r="O44" s="13"/>
      <c r="P44" s="1">
        <f>SUM(OSRRefP22_4x_0)</f>
        <v>9176.23</v>
      </c>
      <c r="Q44" s="1"/>
      <c r="R44" s="5">
        <f t="shared" si="20"/>
        <v>0</v>
      </c>
      <c r="S44" s="1"/>
      <c r="T44" s="1">
        <f>SUM(OSRRefT22_4x_0)</f>
        <v>13500</v>
      </c>
      <c r="U44" s="1"/>
      <c r="V44" s="5">
        <f t="shared" si="21"/>
        <v>0</v>
      </c>
      <c r="W44" s="1"/>
      <c r="X44" s="1">
        <f t="shared" si="22"/>
        <v>-4323.7700000000004</v>
      </c>
      <c r="Y44" s="1"/>
      <c r="Z44" s="5">
        <f t="shared" si="23"/>
        <v>-0.32027925925925932</v>
      </c>
    </row>
    <row r="45" spans="1:26" s="24" customFormat="1" hidden="1" outlineLevel="2" x14ac:dyDescent="0.25">
      <c r="A45" s="26"/>
      <c r="B45" s="11" t="str">
        <f>CONCATENATE("          ", "6373", " - ", "MAINTENANCE CONTRACTS")</f>
        <v xml:space="preserve">          6373 - MAINTENANCE CONTRACTS</v>
      </c>
      <c r="C45" s="11"/>
      <c r="D45" s="7">
        <v>891.98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-608.02</v>
      </c>
      <c r="M45" s="2"/>
      <c r="N45" s="6">
        <f t="shared" si="19"/>
        <v>-0.40534666666666663</v>
      </c>
      <c r="O45" s="11"/>
      <c r="P45" s="7">
        <v>7005.94</v>
      </c>
      <c r="Q45" s="2"/>
      <c r="R45" s="6">
        <f t="shared" si="20"/>
        <v>0</v>
      </c>
      <c r="S45" s="2"/>
      <c r="T45" s="7">
        <v>13500</v>
      </c>
      <c r="U45" s="2"/>
      <c r="V45" s="6">
        <f t="shared" si="21"/>
        <v>0</v>
      </c>
      <c r="W45" s="2"/>
      <c r="X45" s="7">
        <f t="shared" si="22"/>
        <v>-6494.06</v>
      </c>
      <c r="Y45" s="2"/>
      <c r="Z45" s="6">
        <f t="shared" si="23"/>
        <v>-0.48104148148148151</v>
      </c>
    </row>
    <row r="46" spans="1:26" s="24" customFormat="1" hidden="1" outlineLevel="2" x14ac:dyDescent="0.25">
      <c r="A46" s="26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2170.29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2170.29</v>
      </c>
      <c r="Y46" s="2"/>
      <c r="Z46" s="6">
        <f t="shared" si="23"/>
        <v>0</v>
      </c>
    </row>
    <row r="47" spans="1:26" s="25" customFormat="1" outlineLevel="1" collapsed="1" x14ac:dyDescent="0.25">
      <c r="A47" s="27"/>
      <c r="B47" s="13" t="str">
        <f>CONCATENATE("     ","Services                                          ")</f>
        <v xml:space="preserve">     Services                                          </v>
      </c>
      <c r="C47" s="13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3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225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-225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6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225</v>
      </c>
      <c r="U48" s="2"/>
      <c r="V48" s="6">
        <f t="shared" si="29"/>
        <v>0</v>
      </c>
      <c r="W48" s="2"/>
      <c r="X48" s="7">
        <f t="shared" si="30"/>
        <v>-225</v>
      </c>
      <c r="Y48" s="2"/>
      <c r="Z48" s="6">
        <f t="shared" si="31"/>
        <v>-1</v>
      </c>
    </row>
    <row r="49" spans="1:26" s="25" customFormat="1" outlineLevel="1" collapsed="1" x14ac:dyDescent="0.25">
      <c r="A49" s="27"/>
      <c r="B49" s="13" t="str">
        <f>CONCATENATE("     ","Supplies                                          ")</f>
        <v xml:space="preserve">     Supplies                                          </v>
      </c>
      <c r="C49" s="13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3"/>
      <c r="P49" s="1">
        <f>SUM(OSRRefP22_6x_0)</f>
        <v>84.84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-4915.16</v>
      </c>
      <c r="Y49" s="1"/>
      <c r="Z49" s="5">
        <f t="shared" si="31"/>
        <v>-0.98303200000000002</v>
      </c>
    </row>
    <row r="50" spans="1:26" s="24" customFormat="1" hidden="1" outlineLevel="2" x14ac:dyDescent="0.25">
      <c r="A50" s="26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66.12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66.12</v>
      </c>
      <c r="Y50" s="2"/>
      <c r="Z50" s="6">
        <f t="shared" si="31"/>
        <v>0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18.72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18.72</v>
      </c>
      <c r="Y51" s="2"/>
      <c r="Z51" s="6">
        <f t="shared" si="31"/>
        <v>0</v>
      </c>
    </row>
    <row r="52" spans="1:26" s="24" customFormat="1" hidden="1" outlineLevel="2" x14ac:dyDescent="0.25">
      <c r="A52" s="26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5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SUM(OSRRefD22_7x_0)</f>
        <v>173</v>
      </c>
      <c r="E53" s="1"/>
      <c r="F53" s="5">
        <f t="shared" ref="F53:F54" si="32">IF(D$12=0,0,D53/D$12)</f>
        <v>0</v>
      </c>
      <c r="G53" s="1"/>
      <c r="H53" s="1">
        <f>SUM(OSRRefH22_7x_0)</f>
        <v>175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</v>
      </c>
      <c r="M53" s="1"/>
      <c r="N53" s="5">
        <f t="shared" ref="N53:N54" si="35">IF(H53=0,0,L53/H53)</f>
        <v>-1.1428571428571429E-2</v>
      </c>
      <c r="O53" s="13"/>
      <c r="P53" s="1">
        <f>SUM(OSRRefP22_7x_0)</f>
        <v>636</v>
      </c>
      <c r="Q53" s="1"/>
      <c r="R53" s="5">
        <f t="shared" ref="R53:R54" si="36">IF(P$12=0,0,P53/P$12)</f>
        <v>0</v>
      </c>
      <c r="S53" s="1"/>
      <c r="T53" s="1">
        <f>SUM(OSRRefT22_7x_0)</f>
        <v>675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-39</v>
      </c>
      <c r="Y53" s="1"/>
      <c r="Z53" s="5">
        <f t="shared" ref="Z53:Z54" si="39">IF(T53=0,0,X53/T53)</f>
        <v>-5.7777777777777775E-2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7">
        <v>173</v>
      </c>
      <c r="E54" s="2"/>
      <c r="F54" s="6">
        <f t="shared" si="32"/>
        <v>0</v>
      </c>
      <c r="G54" s="2"/>
      <c r="H54" s="7">
        <v>175</v>
      </c>
      <c r="I54" s="2"/>
      <c r="J54" s="6">
        <f t="shared" si="33"/>
        <v>0</v>
      </c>
      <c r="K54" s="2"/>
      <c r="L54" s="7">
        <f t="shared" si="34"/>
        <v>-2</v>
      </c>
      <c r="M54" s="2"/>
      <c r="N54" s="6">
        <f t="shared" si="35"/>
        <v>-1.1428571428571429E-2</v>
      </c>
      <c r="O54" s="11"/>
      <c r="P54" s="7">
        <v>636</v>
      </c>
      <c r="Q54" s="2"/>
      <c r="R54" s="6">
        <f t="shared" si="36"/>
        <v>0</v>
      </c>
      <c r="S54" s="2"/>
      <c r="T54" s="7">
        <v>675</v>
      </c>
      <c r="U54" s="2"/>
      <c r="V54" s="6">
        <f t="shared" si="37"/>
        <v>0</v>
      </c>
      <c r="W54" s="2"/>
      <c r="X54" s="7">
        <f t="shared" si="38"/>
        <v>-39</v>
      </c>
      <c r="Y54" s="2"/>
      <c r="Z54" s="6">
        <f t="shared" si="39"/>
        <v>-5.7777777777777775E-2</v>
      </c>
    </row>
    <row r="55" spans="1:26" s="59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277</v>
      </c>
      <c r="C58" s="29"/>
      <c r="D58" s="20">
        <f>+D16-D18+D56</f>
        <v>-7931.51</v>
      </c>
      <c r="E58" s="14"/>
      <c r="F58" s="21">
        <f>IF(D$12=0,0,D58/D$12)</f>
        <v>0</v>
      </c>
      <c r="G58" s="14"/>
      <c r="H58" s="20">
        <f>+H16-H18+H56</f>
        <v>-7140.2521538461542</v>
      </c>
      <c r="I58" s="14"/>
      <c r="J58" s="21">
        <f>IF(H$12=0,0,H58/H$12)</f>
        <v>0</v>
      </c>
      <c r="K58" s="16"/>
      <c r="L58" s="20">
        <f>+D58-H58</f>
        <v>-791.257846153846</v>
      </c>
      <c r="M58" s="16"/>
      <c r="N58" s="21">
        <f>IF(H58=0,0,L58/H58)</f>
        <v>0.11081651307336934</v>
      </c>
      <c r="O58" s="28"/>
      <c r="P58" s="20">
        <f>+P16-P18+P56</f>
        <v>-70378.329999999987</v>
      </c>
      <c r="Q58" s="14"/>
      <c r="R58" s="21">
        <f>IF(P$12=0,0,P58/P$12)</f>
        <v>0</v>
      </c>
      <c r="S58" s="14"/>
      <c r="T58" s="20">
        <f>+T16-T18+T56</f>
        <v>-73134.708500000008</v>
      </c>
      <c r="U58" s="14"/>
      <c r="V58" s="21">
        <f>IF(T$12=0,0,T58/T$12)</f>
        <v>0</v>
      </c>
      <c r="W58" s="16"/>
      <c r="X58" s="20">
        <f>+P58-T58</f>
        <v>2756.3785000000207</v>
      </c>
      <c r="Y58" s="16"/>
      <c r="Z58" s="21">
        <f>IF(T58=0,0,X58/T58)</f>
        <v>-3.7689061138460961E-2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126</v>
      </c>
      <c r="C62" s="29"/>
      <c r="D62" s="34">
        <f>+D58-D60</f>
        <v>-7931.51</v>
      </c>
      <c r="E62" s="14"/>
      <c r="F62" s="30">
        <f>IF(D$12=0,0,D62/D$12)</f>
        <v>0</v>
      </c>
      <c r="G62" s="14"/>
      <c r="H62" s="34">
        <f>+H58-H60</f>
        <v>-7140.2521538461542</v>
      </c>
      <c r="I62" s="14"/>
      <c r="J62" s="30">
        <f>IF(H$12=0,0,H62/H$12)</f>
        <v>0</v>
      </c>
      <c r="K62" s="16"/>
      <c r="L62" s="34">
        <f>D62-H62</f>
        <v>-791.257846153846</v>
      </c>
      <c r="M62" s="16"/>
      <c r="N62" s="30">
        <f>IF(H62=0,0,L62/H62)</f>
        <v>0.11081651307336934</v>
      </c>
      <c r="O62" s="28"/>
      <c r="P62" s="34">
        <f>+P58-P60</f>
        <v>-70378.329999999987</v>
      </c>
      <c r="Q62" s="14"/>
      <c r="R62" s="30">
        <f>IF(P$12=0,0,P62/P$12)</f>
        <v>0</v>
      </c>
      <c r="S62" s="14"/>
      <c r="T62" s="34">
        <f>+T58-T60</f>
        <v>-73134.708500000008</v>
      </c>
      <c r="U62" s="14"/>
      <c r="V62" s="30">
        <f>IF(T$12=0,0,T62/T$12)</f>
        <v>0</v>
      </c>
      <c r="W62" s="16"/>
      <c r="X62" s="34">
        <f>P62-T62</f>
        <v>2756.3785000000207</v>
      </c>
      <c r="Y62" s="16"/>
      <c r="Z62" s="30">
        <f>IF(T62=0,0,X62/T62)</f>
        <v>-3.7689061138460961E-2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294</v>
      </c>
      <c r="C65" s="29"/>
      <c r="D65" s="31">
        <f>SUM(D62:D64)</f>
        <v>-7931.51</v>
      </c>
      <c r="E65" s="14"/>
      <c r="F65" s="35">
        <f>IF(D$12=0,0,D65/D$12)</f>
        <v>0</v>
      </c>
      <c r="G65" s="14"/>
      <c r="H65" s="31">
        <f>SUM(H62:H64)</f>
        <v>-7140.2521538461542</v>
      </c>
      <c r="I65" s="14"/>
      <c r="J65" s="35">
        <f>IF(H$12=0,0,H65/H$12)</f>
        <v>0</v>
      </c>
      <c r="K65" s="16"/>
      <c r="L65" s="31">
        <f>+D65-H65</f>
        <v>-791.257846153846</v>
      </c>
      <c r="M65" s="16"/>
      <c r="N65" s="35">
        <f>IF(H65=0,0,L65/H65)</f>
        <v>0.11081651307336934</v>
      </c>
      <c r="O65" s="28"/>
      <c r="P65" s="31">
        <f>SUM(P62:P64)</f>
        <v>-70378.329999999987</v>
      </c>
      <c r="Q65" s="14"/>
      <c r="R65" s="35">
        <f>IF(P$12=0,0,P65/P$12)</f>
        <v>0</v>
      </c>
      <c r="S65" s="14"/>
      <c r="T65" s="31">
        <f>SUM(T62:T64)</f>
        <v>-73134.708500000008</v>
      </c>
      <c r="U65" s="14"/>
      <c r="V65" s="35">
        <f>IF(T$12=0,0,T65/T$12)</f>
        <v>0</v>
      </c>
      <c r="W65" s="16"/>
      <c r="X65" s="31">
        <f>+P65-T65</f>
        <v>2756.3785000000207</v>
      </c>
      <c r="Y65" s="16"/>
      <c r="Z65" s="35">
        <f>IF(T65=0,0,X65/T65)</f>
        <v>-3.7689061138460961E-2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6">
        <v>44295.961797766206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3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4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","206", " - ", "Graphics")</f>
        <v>Department 206 - Graphics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8835.7099999999991</v>
      </c>
      <c r="E18" s="22"/>
      <c r="F18" s="32">
        <f t="shared" ref="F18:F28" si="0">IF(D$12=0,0,D18/D$12)</f>
        <v>0</v>
      </c>
      <c r="G18" s="22"/>
      <c r="H18" s="22">
        <f>SUM(OSRRefH22x_0)</f>
        <v>17120.590153846155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-8284.8801538461557</v>
      </c>
      <c r="M18" s="4"/>
      <c r="N18" s="32">
        <f t="shared" ref="N18:N28" si="3">IF(H18=0,0,L18/H18)</f>
        <v>-0.48391323426341998</v>
      </c>
      <c r="O18" s="10"/>
      <c r="P18" s="22">
        <f>SUM(OSRRefP22x_0)</f>
        <v>79663.009999999995</v>
      </c>
      <c r="Q18" s="22"/>
      <c r="R18" s="32">
        <f t="shared" ref="R18:R28" si="4">IF(P$12=0,0,P18/P$12)</f>
        <v>0</v>
      </c>
      <c r="S18" s="22"/>
      <c r="T18" s="22">
        <f>SUM(OSRRefT22x_0)</f>
        <v>166823.38500000001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-87160.375000000015</v>
      </c>
      <c r="Y18" s="4"/>
      <c r="Z18" s="32">
        <f t="shared" ref="Z18:Z28" si="7">IF(T18=0,0,X18/T18)</f>
        <v>-0.52247096532659376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2230.3000000000002</v>
      </c>
      <c r="E19" s="1"/>
      <c r="F19" s="5">
        <f t="shared" si="0"/>
        <v>0</v>
      </c>
      <c r="G19" s="1"/>
      <c r="H19" s="1">
        <f>SUM(OSRRefH22_0x_0)</f>
        <v>1611.590153846154</v>
      </c>
      <c r="I19" s="1"/>
      <c r="J19" s="5">
        <f t="shared" si="1"/>
        <v>0</v>
      </c>
      <c r="K19" s="1"/>
      <c r="L19" s="1">
        <f t="shared" si="2"/>
        <v>618.70984615384623</v>
      </c>
      <c r="M19" s="1"/>
      <c r="N19" s="5">
        <f t="shared" si="3"/>
        <v>0.38391264967538991</v>
      </c>
      <c r="O19" s="13"/>
      <c r="P19" s="1">
        <f>SUM(OSRRefP22_0x_0)</f>
        <v>15751.419999999998</v>
      </c>
      <c r="Q19" s="1"/>
      <c r="R19" s="5">
        <f t="shared" si="4"/>
        <v>0</v>
      </c>
      <c r="S19" s="1"/>
      <c r="T19" s="1">
        <f>SUM(OSRRefT22_0x_0)</f>
        <v>15788.385</v>
      </c>
      <c r="U19" s="1"/>
      <c r="V19" s="5">
        <f t="shared" si="5"/>
        <v>0</v>
      </c>
      <c r="W19" s="1"/>
      <c r="X19" s="1">
        <f t="shared" si="6"/>
        <v>-36.965000000001965</v>
      </c>
      <c r="Y19" s="1"/>
      <c r="Z19" s="5">
        <f t="shared" si="7"/>
        <v>-2.3412780977916338E-3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374.94</v>
      </c>
      <c r="E20" s="2"/>
      <c r="F20" s="6">
        <f t="shared" si="0"/>
        <v>0</v>
      </c>
      <c r="G20" s="2"/>
      <c r="H20" s="7">
        <v>367.34399999999999</v>
      </c>
      <c r="I20" s="2"/>
      <c r="J20" s="6">
        <f t="shared" si="1"/>
        <v>0</v>
      </c>
      <c r="K20" s="2"/>
      <c r="L20" s="7">
        <f t="shared" si="2"/>
        <v>7.5960000000000036</v>
      </c>
      <c r="M20" s="2"/>
      <c r="N20" s="6">
        <f t="shared" si="3"/>
        <v>2.0678165425323414E-2</v>
      </c>
      <c r="O20" s="11"/>
      <c r="P20" s="7">
        <v>3578.06</v>
      </c>
      <c r="Q20" s="2"/>
      <c r="R20" s="6">
        <f t="shared" si="4"/>
        <v>0</v>
      </c>
      <c r="S20" s="2"/>
      <c r="T20" s="7">
        <v>3788.2350000000001</v>
      </c>
      <c r="U20" s="2"/>
      <c r="V20" s="6">
        <f t="shared" si="5"/>
        <v>0</v>
      </c>
      <c r="W20" s="2"/>
      <c r="X20" s="7">
        <f t="shared" si="6"/>
        <v>-210.17500000000018</v>
      </c>
      <c r="Y20" s="2"/>
      <c r="Z20" s="6">
        <f t="shared" si="7"/>
        <v>-5.5480982568399312E-2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19.62</v>
      </c>
      <c r="E21" s="2"/>
      <c r="F21" s="6">
        <f t="shared" si="0"/>
        <v>0</v>
      </c>
      <c r="G21" s="2"/>
      <c r="H21" s="7">
        <v>19.8</v>
      </c>
      <c r="I21" s="2"/>
      <c r="J21" s="6">
        <f t="shared" si="1"/>
        <v>0</v>
      </c>
      <c r="K21" s="2"/>
      <c r="L21" s="7">
        <f t="shared" si="2"/>
        <v>-0.17999999999999972</v>
      </c>
      <c r="M21" s="2"/>
      <c r="N21" s="6">
        <f t="shared" si="3"/>
        <v>-9.0909090909090766E-3</v>
      </c>
      <c r="O21" s="11"/>
      <c r="P21" s="7">
        <v>188.89</v>
      </c>
      <c r="Q21" s="2"/>
      <c r="R21" s="6">
        <f t="shared" si="4"/>
        <v>0</v>
      </c>
      <c r="S21" s="2"/>
      <c r="T21" s="7">
        <v>193.05</v>
      </c>
      <c r="U21" s="2"/>
      <c r="V21" s="6">
        <f t="shared" si="5"/>
        <v>0</v>
      </c>
      <c r="W21" s="2"/>
      <c r="X21" s="7">
        <f t="shared" si="6"/>
        <v>-4.160000000000025</v>
      </c>
      <c r="Y21" s="2"/>
      <c r="Z21" s="6">
        <f t="shared" si="7"/>
        <v>-2.1548821548821678E-2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704.62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90.773846153845966</v>
      </c>
      <c r="M22" s="2"/>
      <c r="N22" s="6">
        <f t="shared" si="3"/>
        <v>0.1478771929824558</v>
      </c>
      <c r="O22" s="11"/>
      <c r="P22" s="7">
        <v>6319.08</v>
      </c>
      <c r="Q22" s="2"/>
      <c r="R22" s="6">
        <f t="shared" si="4"/>
        <v>0</v>
      </c>
      <c r="S22" s="2"/>
      <c r="T22" s="7">
        <v>5985</v>
      </c>
      <c r="U22" s="2"/>
      <c r="V22" s="6">
        <f t="shared" si="5"/>
        <v>0</v>
      </c>
      <c r="W22" s="2"/>
      <c r="X22" s="7">
        <f t="shared" si="6"/>
        <v>334.07999999999993</v>
      </c>
      <c r="Y22" s="2"/>
      <c r="Z22" s="6">
        <f t="shared" si="7"/>
        <v>5.5819548872180436E-2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15.46</v>
      </c>
      <c r="E23" s="2"/>
      <c r="F23" s="6">
        <f t="shared" si="0"/>
        <v>0</v>
      </c>
      <c r="G23" s="2"/>
      <c r="H23" s="7">
        <v>15.6</v>
      </c>
      <c r="I23" s="2"/>
      <c r="J23" s="6">
        <f t="shared" si="1"/>
        <v>0</v>
      </c>
      <c r="K23" s="2"/>
      <c r="L23" s="7">
        <f t="shared" si="2"/>
        <v>-0.13999999999999879</v>
      </c>
      <c r="M23" s="2"/>
      <c r="N23" s="6">
        <f t="shared" si="3"/>
        <v>-8.9743589743588974E-3</v>
      </c>
      <c r="O23" s="11"/>
      <c r="P23" s="7">
        <v>148.83000000000001</v>
      </c>
      <c r="Q23" s="2"/>
      <c r="R23" s="6">
        <f t="shared" si="4"/>
        <v>0</v>
      </c>
      <c r="S23" s="2"/>
      <c r="T23" s="7">
        <v>152.1</v>
      </c>
      <c r="U23" s="2"/>
      <c r="V23" s="6">
        <f t="shared" si="5"/>
        <v>0</v>
      </c>
      <c r="W23" s="2"/>
      <c r="X23" s="7">
        <f t="shared" si="6"/>
        <v>-3.2699999999999818</v>
      </c>
      <c r="Y23" s="2"/>
      <c r="Z23" s="6">
        <f t="shared" si="7"/>
        <v>-2.1499013806705995E-2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368.66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368.66</v>
      </c>
      <c r="M24" s="2"/>
      <c r="N24" s="6">
        <f t="shared" si="3"/>
        <v>0</v>
      </c>
      <c r="O24" s="11"/>
      <c r="P24" s="7">
        <v>1179.1600000000001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1179.1600000000001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414.9</v>
      </c>
      <c r="E26" s="2"/>
      <c r="F26" s="6">
        <f t="shared" si="0"/>
        <v>0</v>
      </c>
      <c r="G26" s="2"/>
      <c r="H26" s="7">
        <v>240</v>
      </c>
      <c r="I26" s="2"/>
      <c r="J26" s="6">
        <f t="shared" si="1"/>
        <v>0</v>
      </c>
      <c r="K26" s="2"/>
      <c r="L26" s="7">
        <f t="shared" si="2"/>
        <v>174.89999999999998</v>
      </c>
      <c r="M26" s="2"/>
      <c r="N26" s="6">
        <f t="shared" si="3"/>
        <v>0.7287499999999999</v>
      </c>
      <c r="O26" s="11"/>
      <c r="P26" s="7">
        <v>2123.4</v>
      </c>
      <c r="Q26" s="2"/>
      <c r="R26" s="6">
        <f t="shared" si="4"/>
        <v>0</v>
      </c>
      <c r="S26" s="2"/>
      <c r="T26" s="7">
        <v>2340</v>
      </c>
      <c r="U26" s="2"/>
      <c r="V26" s="6">
        <f t="shared" si="5"/>
        <v>0</v>
      </c>
      <c r="W26" s="2"/>
      <c r="X26" s="7">
        <f t="shared" si="6"/>
        <v>-216.59999999999991</v>
      </c>
      <c r="Y26" s="2"/>
      <c r="Z26" s="6">
        <f t="shared" si="7"/>
        <v>-9.2564102564102524E-2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332.1</v>
      </c>
      <c r="E27" s="2"/>
      <c r="F27" s="6">
        <f t="shared" si="0"/>
        <v>0</v>
      </c>
      <c r="G27" s="2"/>
      <c r="H27" s="7">
        <v>180</v>
      </c>
      <c r="I27" s="2"/>
      <c r="J27" s="6">
        <f t="shared" si="1"/>
        <v>0</v>
      </c>
      <c r="K27" s="2"/>
      <c r="L27" s="7">
        <f t="shared" si="2"/>
        <v>152.10000000000002</v>
      </c>
      <c r="M27" s="2"/>
      <c r="N27" s="6">
        <f t="shared" si="3"/>
        <v>0.84500000000000008</v>
      </c>
      <c r="O27" s="11"/>
      <c r="P27" s="7">
        <v>2214</v>
      </c>
      <c r="Q27" s="2"/>
      <c r="R27" s="6">
        <f t="shared" si="4"/>
        <v>0</v>
      </c>
      <c r="S27" s="2"/>
      <c r="T27" s="7">
        <v>1755</v>
      </c>
      <c r="U27" s="2"/>
      <c r="V27" s="6">
        <f t="shared" si="5"/>
        <v>0</v>
      </c>
      <c r="W27" s="2"/>
      <c r="X27" s="7">
        <f t="shared" si="6"/>
        <v>459</v>
      </c>
      <c r="Y27" s="2"/>
      <c r="Z27" s="6">
        <f t="shared" si="7"/>
        <v>0.26153846153846155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1575</v>
      </c>
      <c r="U28" s="2"/>
      <c r="V28" s="6">
        <f t="shared" si="5"/>
        <v>0</v>
      </c>
      <c r="W28" s="2"/>
      <c r="X28" s="7">
        <f t="shared" si="6"/>
        <v>-1575</v>
      </c>
      <c r="Y28" s="2"/>
      <c r="Z28" s="6">
        <f t="shared" si="7"/>
        <v>-1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6396.2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720.19999999999982</v>
      </c>
      <c r="M29" s="1"/>
      <c r="N29" s="5">
        <f t="shared" ref="N29:N39" si="11">IF(H29=0,0,L29/H29)</f>
        <v>0.12688513037350244</v>
      </c>
      <c r="O29" s="13"/>
      <c r="P29" s="1">
        <f>SUM(OSRRefP22_1x_0)</f>
        <v>60165.61</v>
      </c>
      <c r="Q29" s="1"/>
      <c r="R29" s="5">
        <f t="shared" ref="R29:R39" si="12">IF(P$12=0,0,P29/P$12)</f>
        <v>0</v>
      </c>
      <c r="S29" s="1"/>
      <c r="T29" s="1">
        <f>SUM(OSRRefT22_1x_0)</f>
        <v>55341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4824.6100000000006</v>
      </c>
      <c r="Y29" s="1"/>
      <c r="Z29" s="5">
        <f t="shared" ref="Z29:Z39" si="15">IF(T29=0,0,X29/T29)</f>
        <v>8.7179667877342312E-2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4680</v>
      </c>
      <c r="E33" s="2"/>
      <c r="F33" s="6">
        <f t="shared" si="8"/>
        <v>0</v>
      </c>
      <c r="G33" s="2"/>
      <c r="H33" s="7">
        <v>4512</v>
      </c>
      <c r="I33" s="2"/>
      <c r="J33" s="6">
        <f t="shared" si="9"/>
        <v>0</v>
      </c>
      <c r="K33" s="2"/>
      <c r="L33" s="7">
        <f t="shared" si="10"/>
        <v>168</v>
      </c>
      <c r="M33" s="2"/>
      <c r="N33" s="6">
        <f t="shared" si="11"/>
        <v>3.7234042553191488E-2</v>
      </c>
      <c r="O33" s="11"/>
      <c r="P33" s="7">
        <v>46760.1</v>
      </c>
      <c r="Q33" s="2"/>
      <c r="R33" s="6">
        <f t="shared" si="12"/>
        <v>0</v>
      </c>
      <c r="S33" s="2"/>
      <c r="T33" s="7">
        <v>43992</v>
      </c>
      <c r="U33" s="2"/>
      <c r="V33" s="6">
        <f t="shared" si="13"/>
        <v>0</v>
      </c>
      <c r="W33" s="2"/>
      <c r="X33" s="7">
        <f t="shared" si="14"/>
        <v>2768.0999999999985</v>
      </c>
      <c r="Y33" s="2"/>
      <c r="Z33" s="6">
        <f t="shared" si="15"/>
        <v>6.2922804146208364E-2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553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553</v>
      </c>
      <c r="M36" s="2"/>
      <c r="N36" s="6">
        <f t="shared" si="11"/>
        <v>0</v>
      </c>
      <c r="O36" s="11"/>
      <c r="P36" s="7">
        <v>1491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-1128</v>
      </c>
      <c r="Y36" s="2"/>
      <c r="Z36" s="6">
        <f t="shared" si="15"/>
        <v>-0.43069873997709052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1163.2</v>
      </c>
      <c r="E37" s="2"/>
      <c r="F37" s="6">
        <f t="shared" si="8"/>
        <v>0</v>
      </c>
      <c r="G37" s="2"/>
      <c r="H37" s="7">
        <v>1164</v>
      </c>
      <c r="I37" s="2"/>
      <c r="J37" s="6">
        <f t="shared" si="9"/>
        <v>0</v>
      </c>
      <c r="K37" s="2"/>
      <c r="L37" s="7">
        <f t="shared" si="10"/>
        <v>-0.79999999999995453</v>
      </c>
      <c r="M37" s="2"/>
      <c r="N37" s="6">
        <f t="shared" si="11"/>
        <v>-6.8728522336765851E-4</v>
      </c>
      <c r="O37" s="11"/>
      <c r="P37" s="7">
        <v>11914.51</v>
      </c>
      <c r="Q37" s="2"/>
      <c r="R37" s="6">
        <f t="shared" si="12"/>
        <v>0</v>
      </c>
      <c r="S37" s="2"/>
      <c r="T37" s="7">
        <v>8730</v>
      </c>
      <c r="U37" s="2"/>
      <c r="V37" s="6">
        <f t="shared" si="13"/>
        <v>0</v>
      </c>
      <c r="W37" s="2"/>
      <c r="X37" s="7">
        <f t="shared" si="14"/>
        <v>3184.51</v>
      </c>
      <c r="Y37" s="2"/>
      <c r="Z37" s="6">
        <f t="shared" si="15"/>
        <v>0.36477777777777781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3"/>
      <c r="P40" s="1">
        <f>SUM(OSRRefP22_2x_0)</f>
        <v>1558.89</v>
      </c>
      <c r="Q40" s="1"/>
      <c r="R40" s="5">
        <f t="shared" ref="R40:R54" si="20">IF(P$12=0,0,P40/P$12)</f>
        <v>0</v>
      </c>
      <c r="S40" s="1"/>
      <c r="T40" s="1">
        <f>SUM(OSRRefT22_2x_0)</f>
        <v>74997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-73438.11</v>
      </c>
      <c r="Y40" s="1"/>
      <c r="Z40" s="5">
        <f t="shared" ref="Z40:Z54" si="23">IF(T40=0,0,X40/T40)</f>
        <v>-0.97921396855874232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-8159.79</v>
      </c>
      <c r="M41" s="2"/>
      <c r="N41" s="6">
        <f t="shared" si="19"/>
        <v>-0.97921396855874232</v>
      </c>
      <c r="O41" s="11"/>
      <c r="P41" s="7">
        <v>1558.89</v>
      </c>
      <c r="Q41" s="2"/>
      <c r="R41" s="6">
        <f t="shared" si="20"/>
        <v>0</v>
      </c>
      <c r="S41" s="2"/>
      <c r="T41" s="7">
        <v>74997</v>
      </c>
      <c r="U41" s="2"/>
      <c r="V41" s="6">
        <f t="shared" si="21"/>
        <v>0</v>
      </c>
      <c r="W41" s="2"/>
      <c r="X41" s="7">
        <f t="shared" si="22"/>
        <v>-73438.11</v>
      </c>
      <c r="Y41" s="2"/>
      <c r="Z41" s="6">
        <f t="shared" si="23"/>
        <v>-0.97921396855874232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1898.94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1.9400000000000546</v>
      </c>
      <c r="Y42" s="1"/>
      <c r="Z42" s="5">
        <f t="shared" si="23"/>
        <v>1.022667369530867E-3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1898.94</v>
      </c>
      <c r="Q43" s="2"/>
      <c r="R43" s="6">
        <f t="shared" si="20"/>
        <v>0</v>
      </c>
      <c r="S43" s="2"/>
      <c r="T43" s="7">
        <v>1897</v>
      </c>
      <c r="U43" s="2"/>
      <c r="V43" s="6">
        <f t="shared" si="21"/>
        <v>0</v>
      </c>
      <c r="W43" s="2"/>
      <c r="X43" s="7">
        <f t="shared" si="22"/>
        <v>1.9400000000000546</v>
      </c>
      <c r="Y43" s="2"/>
      <c r="Z43" s="6">
        <f t="shared" si="23"/>
        <v>1.022667369530867E-3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6003</v>
      </c>
      <c r="U46" s="1"/>
      <c r="V46" s="5">
        <f t="shared" si="21"/>
        <v>0</v>
      </c>
      <c r="W46" s="1"/>
      <c r="X46" s="1">
        <f t="shared" si="22"/>
        <v>-6003</v>
      </c>
      <c r="Y46" s="1"/>
      <c r="Z46" s="5">
        <f t="shared" si="23"/>
        <v>-1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6003</v>
      </c>
      <c r="U47" s="2"/>
      <c r="V47" s="6">
        <f t="shared" si="21"/>
        <v>0</v>
      </c>
      <c r="W47" s="2"/>
      <c r="X47" s="7">
        <f t="shared" si="22"/>
        <v>-6003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","Subscriptions &amp; Dues                              ")</f>
        <v xml:space="preserve">     Subscriptions &amp; Dues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6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7497</v>
      </c>
      <c r="U50" s="1"/>
      <c r="V50" s="5">
        <f t="shared" si="21"/>
        <v>0</v>
      </c>
      <c r="W50" s="1"/>
      <c r="X50" s="1">
        <f t="shared" si="22"/>
        <v>-7497</v>
      </c>
      <c r="Y50" s="1"/>
      <c r="Z50" s="5">
        <f t="shared" si="23"/>
        <v>-1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7497</v>
      </c>
      <c r="U51" s="2"/>
      <c r="V51" s="6">
        <f t="shared" si="21"/>
        <v>0</v>
      </c>
      <c r="W51" s="2"/>
      <c r="X51" s="7">
        <f t="shared" si="22"/>
        <v>-7497</v>
      </c>
      <c r="Y51" s="2"/>
      <c r="Z51" s="6">
        <f t="shared" si="23"/>
        <v>-1</v>
      </c>
    </row>
    <row r="52" spans="1:26" s="25" customFormat="1" outlineLevel="1" collapsed="1" x14ac:dyDescent="0.25">
      <c r="A52" s="27"/>
      <c r="B52" s="13" t="str">
        <f>CONCATENATE("     ","Telephone/Data Lines                              ")</f>
        <v xml:space="preserve">     Telephone/Data Lines                              </v>
      </c>
      <c r="C52" s="13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3"/>
      <c r="P52" s="1">
        <f>SUM(OSRRefP22_8x_0)</f>
        <v>288.14999999999998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-1511.85</v>
      </c>
      <c r="Y52" s="1"/>
      <c r="Z52" s="5">
        <f t="shared" si="23"/>
        <v>-0.83991666666666664</v>
      </c>
    </row>
    <row r="53" spans="1:26" s="24" customFormat="1" hidden="1" outlineLevel="2" x14ac:dyDescent="0.25">
      <c r="A53" s="26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288.14999999999998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288.14999999999998</v>
      </c>
      <c r="Y54" s="2"/>
      <c r="Z54" s="6">
        <f t="shared" si="23"/>
        <v>0</v>
      </c>
    </row>
    <row r="55" spans="1:26" s="25" customFormat="1" outlineLevel="1" collapsed="1" x14ac:dyDescent="0.25">
      <c r="A55" s="27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3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6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59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277</v>
      </c>
      <c r="C60" s="29"/>
      <c r="D60" s="20">
        <f>+D16-D18+D58</f>
        <v>-8835.7099999999991</v>
      </c>
      <c r="E60" s="14"/>
      <c r="F60" s="21">
        <f>IF(D$12=0,0,D60/D$12)</f>
        <v>0</v>
      </c>
      <c r="G60" s="14"/>
      <c r="H60" s="20">
        <f>+H16-H18+H58</f>
        <v>-17120.590153846155</v>
      </c>
      <c r="I60" s="14"/>
      <c r="J60" s="21">
        <f>IF(H$12=0,0,H60/H$12)</f>
        <v>0</v>
      </c>
      <c r="K60" s="16"/>
      <c r="L60" s="20">
        <f>+D60-H60</f>
        <v>8284.8801538461557</v>
      </c>
      <c r="M60" s="16"/>
      <c r="N60" s="21">
        <f>IF(H60=0,0,L60/H60)</f>
        <v>-0.48391323426341998</v>
      </c>
      <c r="O60" s="28"/>
      <c r="P60" s="20">
        <f>+P16-P18+P58</f>
        <v>-79663.009999999995</v>
      </c>
      <c r="Q60" s="14"/>
      <c r="R60" s="21">
        <f>IF(P$12=0,0,P60/P$12)</f>
        <v>0</v>
      </c>
      <c r="S60" s="14"/>
      <c r="T60" s="20">
        <f>+T16-T18+T58</f>
        <v>-166823.38500000001</v>
      </c>
      <c r="U60" s="14"/>
      <c r="V60" s="21">
        <f>IF(T$12=0,0,T60/T$12)</f>
        <v>0</v>
      </c>
      <c r="W60" s="16"/>
      <c r="X60" s="20">
        <f>+P60-T60</f>
        <v>87160.375000000015</v>
      </c>
      <c r="Y60" s="16"/>
      <c r="Z60" s="21">
        <f>IF(T60=0,0,X60/T60)</f>
        <v>-0.52247096532659376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9" t="s">
        <v>126</v>
      </c>
      <c r="C64" s="29"/>
      <c r="D64" s="34">
        <f>+D60-D62</f>
        <v>-8835.7099999999991</v>
      </c>
      <c r="E64" s="14"/>
      <c r="F64" s="30">
        <f>IF(D$12=0,0,D64/D$12)</f>
        <v>0</v>
      </c>
      <c r="G64" s="14"/>
      <c r="H64" s="34">
        <f>+H60-H62</f>
        <v>-17120.590153846155</v>
      </c>
      <c r="I64" s="14"/>
      <c r="J64" s="30">
        <f>IF(H$12=0,0,H64/H$12)</f>
        <v>0</v>
      </c>
      <c r="K64" s="16"/>
      <c r="L64" s="34">
        <f>D64-H64</f>
        <v>8284.8801538461557</v>
      </c>
      <c r="M64" s="16"/>
      <c r="N64" s="30">
        <f>IF(H64=0,0,L64/H64)</f>
        <v>-0.48391323426341998</v>
      </c>
      <c r="O64" s="28"/>
      <c r="P64" s="34">
        <f>+P60-P62</f>
        <v>-79663.009999999995</v>
      </c>
      <c r="Q64" s="14"/>
      <c r="R64" s="30">
        <f>IF(P$12=0,0,P64/P$12)</f>
        <v>0</v>
      </c>
      <c r="S64" s="14"/>
      <c r="T64" s="34">
        <f>+T60-T62</f>
        <v>-166823.38500000001</v>
      </c>
      <c r="U64" s="14"/>
      <c r="V64" s="30">
        <f>IF(T$12=0,0,T64/T$12)</f>
        <v>0</v>
      </c>
      <c r="W64" s="16"/>
      <c r="X64" s="34">
        <f>P64-T64</f>
        <v>87160.375000000015</v>
      </c>
      <c r="Y64" s="16"/>
      <c r="Z64" s="30">
        <f>IF(T64=0,0,X64/T64)</f>
        <v>-0.52247096532659376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294</v>
      </c>
      <c r="C67" s="29"/>
      <c r="D67" s="31">
        <f>SUM(D64:D66)</f>
        <v>-8835.7099999999991</v>
      </c>
      <c r="E67" s="14"/>
      <c r="F67" s="35">
        <f>IF(D$12=0,0,D67/D$12)</f>
        <v>0</v>
      </c>
      <c r="G67" s="14"/>
      <c r="H67" s="31">
        <f>SUM(H64:H66)</f>
        <v>-17120.590153846155</v>
      </c>
      <c r="I67" s="14"/>
      <c r="J67" s="35">
        <f>IF(H$12=0,0,H67/H$12)</f>
        <v>0</v>
      </c>
      <c r="K67" s="16"/>
      <c r="L67" s="31">
        <f>+D67-H67</f>
        <v>8284.8801538461557</v>
      </c>
      <c r="M67" s="16"/>
      <c r="N67" s="35">
        <f>IF(H67=0,0,L67/H67)</f>
        <v>-0.48391323426341998</v>
      </c>
      <c r="O67" s="28"/>
      <c r="P67" s="31">
        <f>SUM(P64:P66)</f>
        <v>-79663.009999999995</v>
      </c>
      <c r="Q67" s="14"/>
      <c r="R67" s="35">
        <f>IF(P$12=0,0,P67/P$12)</f>
        <v>0</v>
      </c>
      <c r="S67" s="14"/>
      <c r="T67" s="31">
        <f>SUM(T64:T66)</f>
        <v>-166823.38500000001</v>
      </c>
      <c r="U67" s="14"/>
      <c r="V67" s="35">
        <f>IF(T$12=0,0,T67/T$12)</f>
        <v>0</v>
      </c>
      <c r="W67" s="16"/>
      <c r="X67" s="31">
        <f>+P67-T67</f>
        <v>87160.375000000015</v>
      </c>
      <c r="Y67" s="16"/>
      <c r="Z67" s="35">
        <f>IF(T67=0,0,X67/T67)</f>
        <v>-0.52247096532659376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6">
        <v>44295.961797766206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3" t="s">
        <v>56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4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183995.22000000006</v>
      </c>
      <c r="E12" s="4"/>
      <c r="F12" s="12"/>
      <c r="G12" s="4"/>
      <c r="H12" s="4">
        <f>SUM(OSRRefH13x_0)</f>
        <v>514629</v>
      </c>
      <c r="I12" s="4"/>
      <c r="J12" s="12"/>
      <c r="K12" s="4"/>
      <c r="L12" s="4">
        <f t="shared" ref="L12:L79" si="0">+D12-H12</f>
        <v>-330633.77999999991</v>
      </c>
      <c r="M12" s="4"/>
      <c r="N12" s="12">
        <f t="shared" ref="N12:N79" si="1">IF(H12=0,0,L12/H12)</f>
        <v>-0.64247016782964017</v>
      </c>
      <c r="O12" s="10"/>
      <c r="P12" s="4">
        <f>SUM(OSRRefP13x_0)</f>
        <v>4266994.2300000023</v>
      </c>
      <c r="Q12" s="4"/>
      <c r="R12" s="12"/>
      <c r="S12" s="4"/>
      <c r="T12" s="4">
        <f>SUM(OSRRefT13x_0)</f>
        <v>8179747</v>
      </c>
      <c r="U12" s="4"/>
      <c r="V12" s="12"/>
      <c r="W12" s="4"/>
      <c r="X12" s="4">
        <f t="shared" ref="X12:X79" si="2">+P12-T12</f>
        <v>-3912752.7699999977</v>
      </c>
      <c r="Y12" s="4"/>
      <c r="Z12" s="12">
        <f t="shared" ref="Z12:Z79" si="3">IF(T12=0,0,X12/T12)</f>
        <v>-0.47834642929665155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-11562.13</f>
        <v>-11562.13</v>
      </c>
      <c r="E13" s="2"/>
      <c r="F13" s="19"/>
      <c r="G13" s="2"/>
      <c r="H13" s="2">
        <v>382187</v>
      </c>
      <c r="I13" s="2"/>
      <c r="J13" s="19"/>
      <c r="K13" s="2"/>
      <c r="L13" s="2">
        <f t="shared" si="0"/>
        <v>-393749.13</v>
      </c>
      <c r="M13" s="2"/>
      <c r="N13" s="19">
        <f t="shared" si="1"/>
        <v>-1.0302525465282701</v>
      </c>
      <c r="O13" s="11"/>
      <c r="P13" s="2">
        <f>-119923.26</f>
        <v>-119923.26</v>
      </c>
      <c r="Q13" s="2"/>
      <c r="R13" s="19"/>
      <c r="S13" s="2"/>
      <c r="T13" s="2">
        <v>7548476</v>
      </c>
      <c r="U13" s="2"/>
      <c r="V13" s="19"/>
      <c r="W13" s="2"/>
      <c r="X13" s="2">
        <f t="shared" si="2"/>
        <v>-7668399.2599999998</v>
      </c>
      <c r="Y13" s="2"/>
      <c r="Z13" s="19">
        <f t="shared" si="3"/>
        <v>-1.0158870823726538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--7739.23</f>
        <v>7739.23</v>
      </c>
      <c r="E14" s="2"/>
      <c r="F14" s="19"/>
      <c r="G14" s="2"/>
      <c r="H14" s="2"/>
      <c r="I14" s="2"/>
      <c r="J14" s="19"/>
      <c r="K14" s="2"/>
      <c r="L14" s="2">
        <f t="shared" si="0"/>
        <v>7739.23</v>
      </c>
      <c r="M14" s="2"/>
      <c r="N14" s="19">
        <f t="shared" si="1"/>
        <v>0</v>
      </c>
      <c r="O14" s="11"/>
      <c r="P14" s="2">
        <f>--1232463.24</f>
        <v>1232463.24</v>
      </c>
      <c r="Q14" s="2"/>
      <c r="R14" s="19"/>
      <c r="S14" s="2"/>
      <c r="T14" s="2"/>
      <c r="U14" s="2"/>
      <c r="V14" s="19"/>
      <c r="W14" s="2"/>
      <c r="X14" s="2">
        <f t="shared" si="2"/>
        <v>1232463.24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--1662.85</f>
        <v>1662.85</v>
      </c>
      <c r="E15" s="2"/>
      <c r="F15" s="19"/>
      <c r="G15" s="2"/>
      <c r="H15" s="2"/>
      <c r="I15" s="2"/>
      <c r="J15" s="19"/>
      <c r="K15" s="2"/>
      <c r="L15" s="2">
        <f t="shared" si="0"/>
        <v>1662.85</v>
      </c>
      <c r="M15" s="2"/>
      <c r="N15" s="19">
        <f t="shared" si="1"/>
        <v>0</v>
      </c>
      <c r="O15" s="11"/>
      <c r="P15" s="2">
        <f>--576797.33</f>
        <v>576797.32999999996</v>
      </c>
      <c r="Q15" s="2"/>
      <c r="R15" s="19"/>
      <c r="S15" s="2"/>
      <c r="T15" s="2"/>
      <c r="U15" s="2"/>
      <c r="V15" s="19"/>
      <c r="W15" s="2"/>
      <c r="X15" s="2">
        <f t="shared" si="2"/>
        <v>576797.32999999996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--16.37</f>
        <v>16.37</v>
      </c>
      <c r="E21" s="2"/>
      <c r="F21" s="19"/>
      <c r="G21" s="2"/>
      <c r="H21" s="2"/>
      <c r="I21" s="2"/>
      <c r="J21" s="19"/>
      <c r="K21" s="2"/>
      <c r="L21" s="2">
        <f t="shared" si="0"/>
        <v>16.37</v>
      </c>
      <c r="M21" s="2"/>
      <c r="N21" s="19">
        <f t="shared" si="1"/>
        <v>0</v>
      </c>
      <c r="O21" s="11"/>
      <c r="P21" s="2">
        <f>--464.75</f>
        <v>464.75</v>
      </c>
      <c r="Q21" s="2"/>
      <c r="R21" s="19"/>
      <c r="S21" s="2"/>
      <c r="T21" s="2"/>
      <c r="U21" s="2"/>
      <c r="V21" s="19"/>
      <c r="W21" s="2"/>
      <c r="X21" s="2">
        <f t="shared" si="2"/>
        <v>464.75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--3028</f>
        <v>3028</v>
      </c>
      <c r="E22" s="2"/>
      <c r="F22" s="19"/>
      <c r="G22" s="2"/>
      <c r="H22" s="2"/>
      <c r="I22" s="2"/>
      <c r="J22" s="19"/>
      <c r="K22" s="2"/>
      <c r="L22" s="2">
        <f t="shared" si="0"/>
        <v>3028</v>
      </c>
      <c r="M22" s="2"/>
      <c r="N22" s="19">
        <f t="shared" si="1"/>
        <v>0</v>
      </c>
      <c r="O22" s="11"/>
      <c r="P22" s="2">
        <f>--57512.32</f>
        <v>57512.32</v>
      </c>
      <c r="Q22" s="2"/>
      <c r="R22" s="19"/>
      <c r="S22" s="2"/>
      <c r="T22" s="2"/>
      <c r="U22" s="2"/>
      <c r="V22" s="19"/>
      <c r="W22" s="2"/>
      <c r="X22" s="2">
        <f t="shared" si="2"/>
        <v>57512.32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--3372.76</f>
        <v>3372.76</v>
      </c>
      <c r="E23" s="2"/>
      <c r="F23" s="19"/>
      <c r="G23" s="2"/>
      <c r="H23" s="2"/>
      <c r="I23" s="2"/>
      <c r="J23" s="19"/>
      <c r="K23" s="2"/>
      <c r="L23" s="2">
        <f t="shared" si="0"/>
        <v>3372.76</v>
      </c>
      <c r="M23" s="2"/>
      <c r="N23" s="19">
        <f t="shared" si="1"/>
        <v>0</v>
      </c>
      <c r="O23" s="11"/>
      <c r="P23" s="2">
        <f>--44249.38</f>
        <v>44249.38</v>
      </c>
      <c r="Q23" s="2"/>
      <c r="R23" s="19"/>
      <c r="S23" s="2"/>
      <c r="T23" s="2"/>
      <c r="U23" s="2"/>
      <c r="V23" s="19"/>
      <c r="W23" s="2"/>
      <c r="X23" s="2">
        <f t="shared" si="2"/>
        <v>44249.38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--434.03</f>
        <v>434.03</v>
      </c>
      <c r="E24" s="2"/>
      <c r="F24" s="19"/>
      <c r="G24" s="2"/>
      <c r="H24" s="2"/>
      <c r="I24" s="2"/>
      <c r="J24" s="19"/>
      <c r="K24" s="2"/>
      <c r="L24" s="2">
        <f t="shared" si="0"/>
        <v>434.03</v>
      </c>
      <c r="M24" s="2"/>
      <c r="N24" s="19">
        <f t="shared" si="1"/>
        <v>0</v>
      </c>
      <c r="O24" s="11"/>
      <c r="P24" s="2">
        <f>--3614.87</f>
        <v>3614.87</v>
      </c>
      <c r="Q24" s="2"/>
      <c r="R24" s="19"/>
      <c r="S24" s="2"/>
      <c r="T24" s="2"/>
      <c r="U24" s="2"/>
      <c r="V24" s="19"/>
      <c r="W24" s="2"/>
      <c r="X24" s="2">
        <f t="shared" si="2"/>
        <v>3614.87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--82653.17</f>
        <v>82653.17</v>
      </c>
      <c r="E27" s="2"/>
      <c r="F27" s="19"/>
      <c r="G27" s="2"/>
      <c r="H27" s="2"/>
      <c r="I27" s="2"/>
      <c r="J27" s="19"/>
      <c r="K27" s="2"/>
      <c r="L27" s="2">
        <f t="shared" si="0"/>
        <v>82653.17</v>
      </c>
      <c r="M27" s="2"/>
      <c r="N27" s="19">
        <f t="shared" si="1"/>
        <v>0</v>
      </c>
      <c r="O27" s="11"/>
      <c r="P27" s="2">
        <f>--754001.15</f>
        <v>754001.15</v>
      </c>
      <c r="Q27" s="2"/>
      <c r="R27" s="19"/>
      <c r="S27" s="2"/>
      <c r="T27" s="2"/>
      <c r="U27" s="2"/>
      <c r="V27" s="19"/>
      <c r="W27" s="2"/>
      <c r="X27" s="2">
        <f t="shared" si="2"/>
        <v>754001.15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--47817.47</f>
        <v>47817.47</v>
      </c>
      <c r="E28" s="2"/>
      <c r="F28" s="19"/>
      <c r="G28" s="2"/>
      <c r="H28" s="2"/>
      <c r="I28" s="2"/>
      <c r="J28" s="19"/>
      <c r="K28" s="2"/>
      <c r="L28" s="2">
        <f t="shared" si="0"/>
        <v>47817.47</v>
      </c>
      <c r="M28" s="2"/>
      <c r="N28" s="19">
        <f t="shared" si="1"/>
        <v>0</v>
      </c>
      <c r="O28" s="11"/>
      <c r="P28" s="2">
        <f>--324016.78</f>
        <v>324016.78000000003</v>
      </c>
      <c r="Q28" s="2"/>
      <c r="R28" s="19"/>
      <c r="S28" s="2"/>
      <c r="T28" s="2"/>
      <c r="U28" s="2"/>
      <c r="V28" s="19"/>
      <c r="W28" s="2"/>
      <c r="X28" s="2">
        <f t="shared" si="2"/>
        <v>324016.78000000003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--11053.28</f>
        <v>11053.28</v>
      </c>
      <c r="E29" s="2"/>
      <c r="F29" s="19"/>
      <c r="G29" s="2"/>
      <c r="H29" s="2"/>
      <c r="I29" s="2"/>
      <c r="J29" s="19"/>
      <c r="K29" s="2"/>
      <c r="L29" s="2">
        <f t="shared" si="0"/>
        <v>11053.28</v>
      </c>
      <c r="M29" s="2"/>
      <c r="N29" s="19">
        <f t="shared" si="1"/>
        <v>0</v>
      </c>
      <c r="O29" s="11"/>
      <c r="P29" s="2">
        <f>--90048.2</f>
        <v>90048.2</v>
      </c>
      <c r="Q29" s="2"/>
      <c r="R29" s="19"/>
      <c r="S29" s="2"/>
      <c r="T29" s="2"/>
      <c r="U29" s="2"/>
      <c r="V29" s="19"/>
      <c r="W29" s="2"/>
      <c r="X29" s="2">
        <f t="shared" si="2"/>
        <v>90048.2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--8285.51</f>
        <v>8285.51</v>
      </c>
      <c r="E30" s="2"/>
      <c r="F30" s="19"/>
      <c r="G30" s="2"/>
      <c r="H30" s="2"/>
      <c r="I30" s="2"/>
      <c r="J30" s="19"/>
      <c r="K30" s="2"/>
      <c r="L30" s="2">
        <f t="shared" si="0"/>
        <v>8285.51</v>
      </c>
      <c r="M30" s="2"/>
      <c r="N30" s="19">
        <f t="shared" si="1"/>
        <v>0</v>
      </c>
      <c r="O30" s="11"/>
      <c r="P30" s="2">
        <f>--132436.17</f>
        <v>132436.17000000001</v>
      </c>
      <c r="Q30" s="2"/>
      <c r="R30" s="19"/>
      <c r="S30" s="2"/>
      <c r="T30" s="2"/>
      <c r="U30" s="2"/>
      <c r="V30" s="19"/>
      <c r="W30" s="2"/>
      <c r="X30" s="2">
        <f t="shared" si="2"/>
        <v>132436.17000000001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--1774.45</f>
        <v>1774.45</v>
      </c>
      <c r="E31" s="2"/>
      <c r="F31" s="19"/>
      <c r="G31" s="2"/>
      <c r="H31" s="2"/>
      <c r="I31" s="2"/>
      <c r="J31" s="19"/>
      <c r="K31" s="2"/>
      <c r="L31" s="2">
        <f t="shared" si="0"/>
        <v>1774.45</v>
      </c>
      <c r="M31" s="2"/>
      <c r="N31" s="19">
        <f t="shared" si="1"/>
        <v>0</v>
      </c>
      <c r="O31" s="11"/>
      <c r="P31" s="2">
        <f>--31346.85</f>
        <v>31346.85</v>
      </c>
      <c r="Q31" s="2"/>
      <c r="R31" s="19"/>
      <c r="S31" s="2"/>
      <c r="T31" s="2"/>
      <c r="U31" s="2"/>
      <c r="V31" s="19"/>
      <c r="W31" s="2"/>
      <c r="X31" s="2">
        <f t="shared" si="2"/>
        <v>31346.85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--8707.87</f>
        <v>8707.8700000000008</v>
      </c>
      <c r="E32" s="2"/>
      <c r="F32" s="19"/>
      <c r="G32" s="2"/>
      <c r="H32" s="2"/>
      <c r="I32" s="2"/>
      <c r="J32" s="19"/>
      <c r="K32" s="2"/>
      <c r="L32" s="2">
        <f t="shared" si="0"/>
        <v>8707.8700000000008</v>
      </c>
      <c r="M32" s="2"/>
      <c r="N32" s="19">
        <f t="shared" si="1"/>
        <v>0</v>
      </c>
      <c r="O32" s="11"/>
      <c r="P32" s="2">
        <f>--144197.44</f>
        <v>144197.44</v>
      </c>
      <c r="Q32" s="2"/>
      <c r="R32" s="19"/>
      <c r="S32" s="2"/>
      <c r="T32" s="2"/>
      <c r="U32" s="2"/>
      <c r="V32" s="19"/>
      <c r="W32" s="2"/>
      <c r="X32" s="2">
        <f t="shared" si="2"/>
        <v>144197.44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--71.95</f>
        <v>71.95</v>
      </c>
      <c r="Q33" s="2"/>
      <c r="R33" s="19"/>
      <c r="S33" s="2"/>
      <c r="T33" s="2"/>
      <c r="U33" s="2"/>
      <c r="V33" s="19"/>
      <c r="W33" s="2"/>
      <c r="X33" s="2">
        <f t="shared" si="2"/>
        <v>71.95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--9.99</f>
        <v>9.99</v>
      </c>
      <c r="Q34" s="2"/>
      <c r="R34" s="19"/>
      <c r="S34" s="2"/>
      <c r="T34" s="2"/>
      <c r="U34" s="2"/>
      <c r="V34" s="19"/>
      <c r="W34" s="2"/>
      <c r="X34" s="2">
        <f t="shared" si="2"/>
        <v>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"4095", " - ", "TAXABLE SALES-CUSTOMER SERVICE")</f>
        <v xml:space="preserve">          4095 - TAXABLE SALES-CUSTOMER SERVICE</v>
      </c>
      <c r="C35" s="11"/>
      <c r="D35" s="2">
        <f>--775.28</f>
        <v>775.28</v>
      </c>
      <c r="E35" s="2"/>
      <c r="F35" s="19"/>
      <c r="G35" s="2"/>
      <c r="H35" s="2"/>
      <c r="I35" s="2"/>
      <c r="J35" s="19"/>
      <c r="K35" s="2"/>
      <c r="L35" s="2">
        <f t="shared" si="0"/>
        <v>775.28</v>
      </c>
      <c r="M35" s="2"/>
      <c r="N35" s="19">
        <f t="shared" si="1"/>
        <v>0</v>
      </c>
      <c r="O35" s="11"/>
      <c r="P35" s="2">
        <f>--915.13</f>
        <v>915.13</v>
      </c>
      <c r="Q35" s="2"/>
      <c r="R35" s="19"/>
      <c r="S35" s="2"/>
      <c r="T35" s="2"/>
      <c r="U35" s="2"/>
      <c r="V35" s="19"/>
      <c r="W35" s="2"/>
      <c r="X35" s="2">
        <f t="shared" si="2"/>
        <v>915.13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--2050.54</f>
        <v>2050.54</v>
      </c>
      <c r="E36" s="2"/>
      <c r="F36" s="19"/>
      <c r="G36" s="2"/>
      <c r="H36" s="2">
        <v>132442</v>
      </c>
      <c r="I36" s="2"/>
      <c r="J36" s="19"/>
      <c r="K36" s="2"/>
      <c r="L36" s="2">
        <f t="shared" si="0"/>
        <v>-130391.46</v>
      </c>
      <c r="M36" s="2"/>
      <c r="N36" s="19">
        <f t="shared" si="1"/>
        <v>-0.98451744914755146</v>
      </c>
      <c r="O36" s="11"/>
      <c r="P36" s="2">
        <f>--286224.1</f>
        <v>286224.09999999998</v>
      </c>
      <c r="Q36" s="2"/>
      <c r="R36" s="19"/>
      <c r="S36" s="2"/>
      <c r="T36" s="2">
        <v>631271</v>
      </c>
      <c r="U36" s="2"/>
      <c r="V36" s="19"/>
      <c r="W36" s="2"/>
      <c r="X36" s="2">
        <f t="shared" si="2"/>
        <v>-345046.9</v>
      </c>
      <c r="Y36" s="2"/>
      <c r="Z36" s="19">
        <f t="shared" si="3"/>
        <v>-0.54659076688141861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>--1044.17</f>
        <v>1044.17</v>
      </c>
      <c r="E37" s="2"/>
      <c r="F37" s="19"/>
      <c r="G37" s="2"/>
      <c r="H37" s="2"/>
      <c r="I37" s="2"/>
      <c r="J37" s="19"/>
      <c r="K37" s="2"/>
      <c r="L37" s="2">
        <f t="shared" si="0"/>
        <v>1044.17</v>
      </c>
      <c r="M37" s="2"/>
      <c r="N37" s="19">
        <f t="shared" si="1"/>
        <v>0</v>
      </c>
      <c r="O37" s="11"/>
      <c r="P37" s="2">
        <f>--112055.71</f>
        <v>112055.71</v>
      </c>
      <c r="Q37" s="2"/>
      <c r="R37" s="19"/>
      <c r="S37" s="2"/>
      <c r="T37" s="2"/>
      <c r="U37" s="2"/>
      <c r="V37" s="19"/>
      <c r="W37" s="2"/>
      <c r="X37" s="2">
        <f t="shared" si="2"/>
        <v>112055.71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>--1572.06</f>
        <v>1572.06</v>
      </c>
      <c r="E38" s="2"/>
      <c r="F38" s="19"/>
      <c r="G38" s="2"/>
      <c r="H38" s="2"/>
      <c r="I38" s="2"/>
      <c r="J38" s="19"/>
      <c r="K38" s="2"/>
      <c r="L38" s="2">
        <f t="shared" si="0"/>
        <v>1572.06</v>
      </c>
      <c r="M38" s="2"/>
      <c r="N38" s="19">
        <f t="shared" si="1"/>
        <v>0</v>
      </c>
      <c r="O38" s="11"/>
      <c r="P38" s="2">
        <f>--47959.43</f>
        <v>47959.43</v>
      </c>
      <c r="Q38" s="2"/>
      <c r="R38" s="19"/>
      <c r="S38" s="2"/>
      <c r="T38" s="2"/>
      <c r="U38" s="2"/>
      <c r="V38" s="19"/>
      <c r="W38" s="2"/>
      <c r="X38" s="2">
        <f t="shared" si="2"/>
        <v>47959.43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--1138.95</f>
        <v>1138.95</v>
      </c>
      <c r="Q39" s="2"/>
      <c r="R39" s="19"/>
      <c r="S39" s="2"/>
      <c r="T39" s="2"/>
      <c r="U39" s="2"/>
      <c r="V39" s="19"/>
      <c r="W39" s="2"/>
      <c r="X39" s="2">
        <f t="shared" si="2"/>
        <v>1138.95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--1097.13</f>
        <v>1097.1300000000001</v>
      </c>
      <c r="E40" s="2"/>
      <c r="F40" s="19"/>
      <c r="G40" s="2"/>
      <c r="H40" s="2"/>
      <c r="I40" s="2"/>
      <c r="J40" s="19"/>
      <c r="K40" s="2"/>
      <c r="L40" s="2">
        <f t="shared" si="0"/>
        <v>1097.1300000000001</v>
      </c>
      <c r="M40" s="2"/>
      <c r="N40" s="19">
        <f t="shared" si="1"/>
        <v>0</v>
      </c>
      <c r="O40" s="11"/>
      <c r="P40" s="2">
        <f>--476971.18</f>
        <v>476971.18</v>
      </c>
      <c r="Q40" s="2"/>
      <c r="R40" s="19"/>
      <c r="S40" s="2"/>
      <c r="T40" s="2"/>
      <c r="U40" s="2"/>
      <c r="V40" s="19"/>
      <c r="W40" s="2"/>
      <c r="X40" s="2">
        <f t="shared" si="2"/>
        <v>476971.18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>--1250</f>
        <v>1250</v>
      </c>
      <c r="E41" s="2"/>
      <c r="F41" s="19"/>
      <c r="G41" s="2"/>
      <c r="H41" s="2"/>
      <c r="I41" s="2"/>
      <c r="J41" s="19"/>
      <c r="K41" s="2"/>
      <c r="L41" s="2">
        <f t="shared" si="0"/>
        <v>1250</v>
      </c>
      <c r="M41" s="2"/>
      <c r="N41" s="19">
        <f t="shared" si="1"/>
        <v>0</v>
      </c>
      <c r="O41" s="11"/>
      <c r="P41" s="2">
        <f>--11389.25</f>
        <v>11389.25</v>
      </c>
      <c r="Q41" s="2"/>
      <c r="R41" s="19"/>
      <c r="S41" s="2"/>
      <c r="T41" s="2"/>
      <c r="U41" s="2"/>
      <c r="V41" s="19"/>
      <c r="W41" s="2"/>
      <c r="X41" s="2">
        <f t="shared" si="2"/>
        <v>11389.25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ref="D42:D43" si="6"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--771.73</f>
        <v>771.73</v>
      </c>
      <c r="Q42" s="2"/>
      <c r="R42" s="19"/>
      <c r="S42" s="2"/>
      <c r="T42" s="2"/>
      <c r="U42" s="2"/>
      <c r="V42" s="19"/>
      <c r="W42" s="2"/>
      <c r="X42" s="2">
        <f t="shared" si="2"/>
        <v>771.73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--52.68</f>
        <v>52.68</v>
      </c>
      <c r="Q43" s="2"/>
      <c r="R43" s="19"/>
      <c r="S43" s="2"/>
      <c r="T43" s="2"/>
      <c r="U43" s="2"/>
      <c r="V43" s="19"/>
      <c r="W43" s="2"/>
      <c r="X43" s="2">
        <f t="shared" si="2"/>
        <v>52.68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--389.95</f>
        <v>389.95</v>
      </c>
      <c r="E44" s="2"/>
      <c r="F44" s="19"/>
      <c r="G44" s="2"/>
      <c r="H44" s="2"/>
      <c r="I44" s="2"/>
      <c r="J44" s="19"/>
      <c r="K44" s="2"/>
      <c r="L44" s="2">
        <f t="shared" si="0"/>
        <v>389.95</v>
      </c>
      <c r="M44" s="2"/>
      <c r="N44" s="19">
        <f t="shared" si="1"/>
        <v>0</v>
      </c>
      <c r="O44" s="11"/>
      <c r="P44" s="2">
        <f>--6607.31</f>
        <v>6607.31</v>
      </c>
      <c r="Q44" s="2"/>
      <c r="R44" s="19"/>
      <c r="S44" s="2"/>
      <c r="T44" s="2"/>
      <c r="U44" s="2"/>
      <c r="V44" s="19"/>
      <c r="W44" s="2"/>
      <c r="X44" s="2">
        <f t="shared" si="2"/>
        <v>6607.31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--38.58</f>
        <v>38.58</v>
      </c>
      <c r="Q45" s="2"/>
      <c r="R45" s="19"/>
      <c r="S45" s="2"/>
      <c r="T45" s="2"/>
      <c r="U45" s="2"/>
      <c r="V45" s="19"/>
      <c r="W45" s="2"/>
      <c r="X45" s="2">
        <f t="shared" si="2"/>
        <v>38.58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>--829.28</f>
        <v>829.28</v>
      </c>
      <c r="E46" s="2"/>
      <c r="F46" s="19"/>
      <c r="G46" s="2"/>
      <c r="H46" s="2"/>
      <c r="I46" s="2"/>
      <c r="J46" s="19"/>
      <c r="K46" s="2"/>
      <c r="L46" s="2">
        <f t="shared" si="0"/>
        <v>829.28</v>
      </c>
      <c r="M46" s="2"/>
      <c r="N46" s="19">
        <f t="shared" si="1"/>
        <v>0</v>
      </c>
      <c r="O46" s="11"/>
      <c r="P46" s="2">
        <f>--10404.43</f>
        <v>10404.43</v>
      </c>
      <c r="Q46" s="2"/>
      <c r="R46" s="19"/>
      <c r="S46" s="2"/>
      <c r="T46" s="2"/>
      <c r="U46" s="2"/>
      <c r="V46" s="19"/>
      <c r="W46" s="2"/>
      <c r="X46" s="2">
        <f t="shared" si="2"/>
        <v>10404.43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7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--2054.37</f>
        <v>2054.37</v>
      </c>
      <c r="Q47" s="2"/>
      <c r="R47" s="19"/>
      <c r="S47" s="2"/>
      <c r="T47" s="2"/>
      <c r="U47" s="2"/>
      <c r="V47" s="19"/>
      <c r="W47" s="2"/>
      <c r="X47" s="2">
        <f t="shared" si="2"/>
        <v>2054.37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7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--80.71</f>
        <v>80.709999999999994</v>
      </c>
      <c r="Q48" s="2"/>
      <c r="R48" s="19"/>
      <c r="S48" s="2"/>
      <c r="T48" s="2"/>
      <c r="U48" s="2"/>
      <c r="V48" s="19"/>
      <c r="W48" s="2"/>
      <c r="X48" s="2">
        <f t="shared" si="2"/>
        <v>80.709999999999994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7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--45.53</f>
        <v>45.53</v>
      </c>
      <c r="Q49" s="2"/>
      <c r="R49" s="19"/>
      <c r="S49" s="2"/>
      <c r="T49" s="2"/>
      <c r="U49" s="2"/>
      <c r="V49" s="19"/>
      <c r="W49" s="2"/>
      <c r="X49" s="2">
        <f t="shared" si="2"/>
        <v>45.53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7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--68.25</f>
        <v>68.25</v>
      </c>
      <c r="Q50" s="2"/>
      <c r="R50" s="19"/>
      <c r="S50" s="2"/>
      <c r="T50" s="2"/>
      <c r="U50" s="2"/>
      <c r="V50" s="19"/>
      <c r="W50" s="2"/>
      <c r="X50" s="2">
        <f t="shared" si="2"/>
        <v>68.25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--16626.41</f>
        <v>16626.41</v>
      </c>
      <c r="E51" s="2"/>
      <c r="F51" s="19"/>
      <c r="G51" s="2"/>
      <c r="H51" s="2"/>
      <c r="I51" s="2"/>
      <c r="J51" s="19"/>
      <c r="K51" s="2"/>
      <c r="L51" s="2">
        <f t="shared" si="0"/>
        <v>16626.41</v>
      </c>
      <c r="M51" s="2"/>
      <c r="N51" s="19">
        <f t="shared" si="1"/>
        <v>0</v>
      </c>
      <c r="O51" s="11"/>
      <c r="P51" s="2">
        <f>--131751.69</f>
        <v>131751.69</v>
      </c>
      <c r="Q51" s="2"/>
      <c r="R51" s="19"/>
      <c r="S51" s="2"/>
      <c r="T51" s="2"/>
      <c r="U51" s="2"/>
      <c r="V51" s="19"/>
      <c r="W51" s="2"/>
      <c r="X51" s="2">
        <f t="shared" si="2"/>
        <v>131751.69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--1055.22</f>
        <v>1055.22</v>
      </c>
      <c r="E52" s="2"/>
      <c r="F52" s="19"/>
      <c r="G52" s="2"/>
      <c r="H52" s="2"/>
      <c r="I52" s="2"/>
      <c r="J52" s="19"/>
      <c r="K52" s="2"/>
      <c r="L52" s="2">
        <f t="shared" si="0"/>
        <v>1055.22</v>
      </c>
      <c r="M52" s="2"/>
      <c r="N52" s="19">
        <f t="shared" si="1"/>
        <v>0</v>
      </c>
      <c r="O52" s="11"/>
      <c r="P52" s="2">
        <f>--9568.24</f>
        <v>9568.24</v>
      </c>
      <c r="Q52" s="2"/>
      <c r="R52" s="19"/>
      <c r="S52" s="2"/>
      <c r="T52" s="2"/>
      <c r="U52" s="2"/>
      <c r="V52" s="19"/>
      <c r="W52" s="2"/>
      <c r="X52" s="2">
        <f t="shared" si="2"/>
        <v>9568.24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--16.9</f>
        <v>16.899999999999999</v>
      </c>
      <c r="E53" s="2"/>
      <c r="F53" s="19"/>
      <c r="G53" s="2"/>
      <c r="H53" s="2"/>
      <c r="I53" s="2"/>
      <c r="J53" s="19"/>
      <c r="K53" s="2"/>
      <c r="L53" s="2">
        <f t="shared" si="0"/>
        <v>16.899999999999999</v>
      </c>
      <c r="M53" s="2"/>
      <c r="N53" s="19">
        <f t="shared" si="1"/>
        <v>0</v>
      </c>
      <c r="O53" s="11"/>
      <c r="P53" s="2">
        <f>--2281.37</f>
        <v>2281.37</v>
      </c>
      <c r="Q53" s="2"/>
      <c r="R53" s="19"/>
      <c r="S53" s="2"/>
      <c r="T53" s="2"/>
      <c r="U53" s="2"/>
      <c r="V53" s="19"/>
      <c r="W53" s="2"/>
      <c r="X53" s="2">
        <f t="shared" si="2"/>
        <v>2281.37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>--261.82</f>
        <v>261.82</v>
      </c>
      <c r="E54" s="2"/>
      <c r="F54" s="19"/>
      <c r="G54" s="2"/>
      <c r="H54" s="2"/>
      <c r="I54" s="2"/>
      <c r="J54" s="19"/>
      <c r="K54" s="2"/>
      <c r="L54" s="2">
        <f t="shared" si="0"/>
        <v>261.82</v>
      </c>
      <c r="M54" s="2"/>
      <c r="N54" s="19">
        <f t="shared" si="1"/>
        <v>0</v>
      </c>
      <c r="O54" s="11"/>
      <c r="P54" s="2">
        <f>--2381.48</f>
        <v>2381.48</v>
      </c>
      <c r="Q54" s="2"/>
      <c r="R54" s="19"/>
      <c r="S54" s="2"/>
      <c r="T54" s="2"/>
      <c r="U54" s="2"/>
      <c r="V54" s="19"/>
      <c r="W54" s="2"/>
      <c r="X54" s="2">
        <f t="shared" si="2"/>
        <v>2381.48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--29.9</f>
        <v>29.9</v>
      </c>
      <c r="E55" s="2"/>
      <c r="F55" s="19"/>
      <c r="G55" s="2"/>
      <c r="H55" s="2"/>
      <c r="I55" s="2"/>
      <c r="J55" s="19"/>
      <c r="K55" s="2"/>
      <c r="L55" s="2">
        <f t="shared" si="0"/>
        <v>29.9</v>
      </c>
      <c r="M55" s="2"/>
      <c r="N55" s="19">
        <f t="shared" si="1"/>
        <v>0</v>
      </c>
      <c r="O55" s="11"/>
      <c r="P55" s="2">
        <f>--679.25</f>
        <v>679.25</v>
      </c>
      <c r="Q55" s="2"/>
      <c r="R55" s="19"/>
      <c r="S55" s="2"/>
      <c r="T55" s="2"/>
      <c r="U55" s="2"/>
      <c r="V55" s="19"/>
      <c r="W55" s="2"/>
      <c r="X55" s="2">
        <f t="shared" si="2"/>
        <v>679.25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--53716.09</f>
        <v>53716.09</v>
      </c>
      <c r="Q56" s="2"/>
      <c r="R56" s="19"/>
      <c r="S56" s="2"/>
      <c r="T56" s="2"/>
      <c r="U56" s="2"/>
      <c r="V56" s="19"/>
      <c r="W56" s="2"/>
      <c r="X56" s="2">
        <f t="shared" si="2"/>
        <v>53716.09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--90.7</f>
        <v>90.7</v>
      </c>
      <c r="E57" s="2"/>
      <c r="F57" s="19"/>
      <c r="G57" s="2"/>
      <c r="H57" s="2"/>
      <c r="I57" s="2"/>
      <c r="J57" s="19"/>
      <c r="K57" s="2"/>
      <c r="L57" s="2">
        <f t="shared" si="0"/>
        <v>90.7</v>
      </c>
      <c r="M57" s="2"/>
      <c r="N57" s="19">
        <f t="shared" si="1"/>
        <v>0</v>
      </c>
      <c r="O57" s="11"/>
      <c r="P57" s="2">
        <f>--299.1</f>
        <v>299.10000000000002</v>
      </c>
      <c r="Q57" s="2"/>
      <c r="R57" s="19"/>
      <c r="S57" s="2"/>
      <c r="T57" s="2"/>
      <c r="U57" s="2"/>
      <c r="V57" s="19"/>
      <c r="W57" s="2"/>
      <c r="X57" s="2">
        <f t="shared" si="2"/>
        <v>299.10000000000002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>--11</f>
        <v>11</v>
      </c>
      <c r="E58" s="2"/>
      <c r="F58" s="19"/>
      <c r="G58" s="2"/>
      <c r="H58" s="2"/>
      <c r="I58" s="2"/>
      <c r="J58" s="19"/>
      <c r="K58" s="2"/>
      <c r="L58" s="2">
        <f t="shared" si="0"/>
        <v>11</v>
      </c>
      <c r="M58" s="2"/>
      <c r="N58" s="19">
        <f t="shared" si="1"/>
        <v>0</v>
      </c>
      <c r="O58" s="11"/>
      <c r="P58" s="2">
        <f>--143.5</f>
        <v>143.5</v>
      </c>
      <c r="Q58" s="2"/>
      <c r="R58" s="19"/>
      <c r="S58" s="2"/>
      <c r="T58" s="2"/>
      <c r="U58" s="2"/>
      <c r="V58" s="19"/>
      <c r="W58" s="2"/>
      <c r="X58" s="2">
        <f t="shared" si="2"/>
        <v>143.5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>--100.55</f>
        <v>100.55</v>
      </c>
      <c r="E59" s="2"/>
      <c r="F59" s="19"/>
      <c r="G59" s="2"/>
      <c r="H59" s="2"/>
      <c r="I59" s="2"/>
      <c r="J59" s="19"/>
      <c r="K59" s="2"/>
      <c r="L59" s="2">
        <f t="shared" si="0"/>
        <v>100.55</v>
      </c>
      <c r="M59" s="2"/>
      <c r="N59" s="19">
        <f t="shared" si="1"/>
        <v>0</v>
      </c>
      <c r="O59" s="11"/>
      <c r="P59" s="2">
        <f>--344.55</f>
        <v>344.55</v>
      </c>
      <c r="Q59" s="2"/>
      <c r="R59" s="19"/>
      <c r="S59" s="2"/>
      <c r="T59" s="2"/>
      <c r="U59" s="2"/>
      <c r="V59" s="19"/>
      <c r="W59" s="2"/>
      <c r="X59" s="2">
        <f t="shared" si="2"/>
        <v>344.55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>-596.94</f>
        <v>-596.94000000000005</v>
      </c>
      <c r="E60" s="2"/>
      <c r="F60" s="19"/>
      <c r="G60" s="2"/>
      <c r="H60" s="2"/>
      <c r="I60" s="2"/>
      <c r="J60" s="19"/>
      <c r="K60" s="2"/>
      <c r="L60" s="2">
        <f t="shared" si="0"/>
        <v>-596.94000000000005</v>
      </c>
      <c r="M60" s="2"/>
      <c r="N60" s="19">
        <f t="shared" si="1"/>
        <v>0</v>
      </c>
      <c r="O60" s="11"/>
      <c r="P60" s="2">
        <f>-51261.17</f>
        <v>-51261.17</v>
      </c>
      <c r="Q60" s="2"/>
      <c r="R60" s="19"/>
      <c r="S60" s="2"/>
      <c r="T60" s="2"/>
      <c r="U60" s="2"/>
      <c r="V60" s="19"/>
      <c r="W60" s="2"/>
      <c r="X60" s="2">
        <f t="shared" si="2"/>
        <v>-51261.17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>-153.8</f>
        <v>-153.80000000000001</v>
      </c>
      <c r="E61" s="2"/>
      <c r="F61" s="19"/>
      <c r="G61" s="2"/>
      <c r="H61" s="2"/>
      <c r="I61" s="2"/>
      <c r="J61" s="19"/>
      <c r="K61" s="2"/>
      <c r="L61" s="2">
        <f t="shared" si="0"/>
        <v>-153.80000000000001</v>
      </c>
      <c r="M61" s="2"/>
      <c r="N61" s="19">
        <f t="shared" si="1"/>
        <v>0</v>
      </c>
      <c r="O61" s="11"/>
      <c r="P61" s="2">
        <f>-19889.31</f>
        <v>-19889.310000000001</v>
      </c>
      <c r="Q61" s="2"/>
      <c r="R61" s="19"/>
      <c r="S61" s="2"/>
      <c r="T61" s="2"/>
      <c r="U61" s="2"/>
      <c r="V61" s="19"/>
      <c r="W61" s="2"/>
      <c r="X61" s="2">
        <f t="shared" si="2"/>
        <v>-19889.310000000001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 t="shared" ref="D62:D63" si="8"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-1763.1</f>
        <v>-1763.1</v>
      </c>
      <c r="Q62" s="2"/>
      <c r="R62" s="19"/>
      <c r="S62" s="2"/>
      <c r="T62" s="2"/>
      <c r="U62" s="2"/>
      <c r="V62" s="19"/>
      <c r="W62" s="2"/>
      <c r="X62" s="2">
        <f t="shared" si="2"/>
        <v>-1763.1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"4213", " - ", "NON-TAXABLE SALES-TRADE BOOKS")</f>
        <v xml:space="preserve">          4213 - NON-TAXABLE SALES-TRADE BOOKS</v>
      </c>
      <c r="C63" s="11"/>
      <c r="D63" s="2">
        <f t="shared" si="8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-69.93</f>
        <v>-69.930000000000007</v>
      </c>
      <c r="Q63" s="2"/>
      <c r="R63" s="19"/>
      <c r="S63" s="2"/>
      <c r="T63" s="2"/>
      <c r="U63" s="2"/>
      <c r="V63" s="19"/>
      <c r="W63" s="2"/>
      <c r="X63" s="2">
        <f t="shared" si="2"/>
        <v>-69.930000000000007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"4218", " - ", "SALES RETURN TAXABLE-STUDY GUI")</f>
        <v xml:space="preserve">          4218 - SALES RETURN TAXABLE-STUDY GUI</v>
      </c>
      <c r="C64" s="11"/>
      <c r="D64" s="2">
        <f>-5.21</f>
        <v>-5.21</v>
      </c>
      <c r="E64" s="2"/>
      <c r="F64" s="19"/>
      <c r="G64" s="2"/>
      <c r="H64" s="2"/>
      <c r="I64" s="2"/>
      <c r="J64" s="19"/>
      <c r="K64" s="2"/>
      <c r="L64" s="2">
        <f t="shared" si="0"/>
        <v>-5.21</v>
      </c>
      <c r="M64" s="2"/>
      <c r="N64" s="19">
        <f t="shared" si="1"/>
        <v>0</v>
      </c>
      <c r="O64" s="11"/>
      <c r="P64" s="2">
        <f>-5.21</f>
        <v>-5.21</v>
      </c>
      <c r="Q64" s="2"/>
      <c r="R64" s="19"/>
      <c r="S64" s="2"/>
      <c r="T64" s="2"/>
      <c r="U64" s="2"/>
      <c r="V64" s="19"/>
      <c r="W64" s="2"/>
      <c r="X64" s="2">
        <f t="shared" si="2"/>
        <v>-5.21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"4226", " - ", "SALES RETURN TAXABLE-WRITING I")</f>
        <v xml:space="preserve">          4226 - SALES RETURN TAXABLE-WRITING I</v>
      </c>
      <c r="C65" s="11"/>
      <c r="D65" s="2">
        <f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-34.23</f>
        <v>-34.229999999999997</v>
      </c>
      <c r="Q65" s="2"/>
      <c r="R65" s="19"/>
      <c r="S65" s="2"/>
      <c r="T65" s="2"/>
      <c r="U65" s="2"/>
      <c r="V65" s="19"/>
      <c r="W65" s="2"/>
      <c r="X65" s="2">
        <f t="shared" si="2"/>
        <v>-34.229999999999997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"4227", " - ", "SALES RETURN TAXABLE-SCHOOL SU")</f>
        <v xml:space="preserve">          4227 - SALES RETURN TAXABLE-SCHOOL SU</v>
      </c>
      <c r="C66" s="11"/>
      <c r="D66" s="2">
        <f>-64.39</f>
        <v>-64.39</v>
      </c>
      <c r="E66" s="2"/>
      <c r="F66" s="19"/>
      <c r="G66" s="2"/>
      <c r="H66" s="2"/>
      <c r="I66" s="2"/>
      <c r="J66" s="19"/>
      <c r="K66" s="2"/>
      <c r="L66" s="2">
        <f t="shared" si="0"/>
        <v>-64.39</v>
      </c>
      <c r="M66" s="2"/>
      <c r="N66" s="19">
        <f t="shared" si="1"/>
        <v>0</v>
      </c>
      <c r="O66" s="11"/>
      <c r="P66" s="2">
        <f>-846.12</f>
        <v>-846.12</v>
      </c>
      <c r="Q66" s="2"/>
      <c r="R66" s="19"/>
      <c r="S66" s="2"/>
      <c r="T66" s="2"/>
      <c r="U66" s="2"/>
      <c r="V66" s="19"/>
      <c r="W66" s="2"/>
      <c r="X66" s="2">
        <f t="shared" si="2"/>
        <v>-846.12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"4228", " - ", "SALES RETURN TAXABLE-ART/TECH")</f>
        <v xml:space="preserve">          4228 - SALES RETURN TAXABLE-ART/TECH</v>
      </c>
      <c r="C67" s="11"/>
      <c r="D67" s="2">
        <f>-98.38</f>
        <v>-98.38</v>
      </c>
      <c r="E67" s="2"/>
      <c r="F67" s="19"/>
      <c r="G67" s="2"/>
      <c r="H67" s="2"/>
      <c r="I67" s="2"/>
      <c r="J67" s="19"/>
      <c r="K67" s="2"/>
      <c r="L67" s="2">
        <f t="shared" si="0"/>
        <v>-98.38</v>
      </c>
      <c r="M67" s="2"/>
      <c r="N67" s="19">
        <f t="shared" si="1"/>
        <v>0</v>
      </c>
      <c r="O67" s="11"/>
      <c r="P67" s="2">
        <f>-12837.62</f>
        <v>-12837.62</v>
      </c>
      <c r="Q67" s="2"/>
      <c r="R67" s="19"/>
      <c r="S67" s="2"/>
      <c r="T67" s="2"/>
      <c r="U67" s="2"/>
      <c r="V67" s="19"/>
      <c r="W67" s="2"/>
      <c r="X67" s="2">
        <f t="shared" si="2"/>
        <v>-12837.62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"4240", " - ", "SALES RETURN TAXABLE-LOGO CLOT")</f>
        <v xml:space="preserve">          4240 - SALES RETURN TAXABLE-LOGO CLOT</v>
      </c>
      <c r="C68" s="11"/>
      <c r="D68" s="2">
        <f>-3924.84</f>
        <v>-3924.84</v>
      </c>
      <c r="E68" s="2"/>
      <c r="F68" s="19"/>
      <c r="G68" s="2"/>
      <c r="H68" s="2"/>
      <c r="I68" s="2"/>
      <c r="J68" s="19"/>
      <c r="K68" s="2"/>
      <c r="L68" s="2">
        <f t="shared" si="0"/>
        <v>-3924.84</v>
      </c>
      <c r="M68" s="2"/>
      <c r="N68" s="19">
        <f t="shared" si="1"/>
        <v>0</v>
      </c>
      <c r="O68" s="11"/>
      <c r="P68" s="2">
        <f>-35054.35</f>
        <v>-35054.35</v>
      </c>
      <c r="Q68" s="2"/>
      <c r="R68" s="19"/>
      <c r="S68" s="2"/>
      <c r="T68" s="2"/>
      <c r="U68" s="2"/>
      <c r="V68" s="19"/>
      <c r="W68" s="2"/>
      <c r="X68" s="2">
        <f t="shared" si="2"/>
        <v>-35054.35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"4241", " - ", "SALES RETURN TAXABLE-LOGO GIFT")</f>
        <v xml:space="preserve">          4241 - SALES RETURN TAXABLE-LOGO GIFT</v>
      </c>
      <c r="C69" s="11"/>
      <c r="D69" s="2">
        <f>-1222.82</f>
        <v>-1222.82</v>
      </c>
      <c r="E69" s="2"/>
      <c r="F69" s="19"/>
      <c r="G69" s="2"/>
      <c r="H69" s="2"/>
      <c r="I69" s="2"/>
      <c r="J69" s="19"/>
      <c r="K69" s="2"/>
      <c r="L69" s="2">
        <f t="shared" si="0"/>
        <v>-1222.82</v>
      </c>
      <c r="M69" s="2"/>
      <c r="N69" s="19">
        <f t="shared" si="1"/>
        <v>0</v>
      </c>
      <c r="O69" s="11"/>
      <c r="P69" s="2">
        <f>-6518.34</f>
        <v>-6518.34</v>
      </c>
      <c r="Q69" s="2"/>
      <c r="R69" s="19"/>
      <c r="S69" s="2"/>
      <c r="T69" s="2"/>
      <c r="U69" s="2"/>
      <c r="V69" s="19"/>
      <c r="W69" s="2"/>
      <c r="X69" s="2">
        <f t="shared" si="2"/>
        <v>-6518.34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"4242", " - ", "SALES RETURN TAXABLE-EVERYDAY")</f>
        <v xml:space="preserve">          4242 - SALES RETURN TAXABLE-EVERYDAY</v>
      </c>
      <c r="C70" s="11"/>
      <c r="D70" s="2">
        <f>-565.08</f>
        <v>-565.08000000000004</v>
      </c>
      <c r="E70" s="2"/>
      <c r="F70" s="19"/>
      <c r="G70" s="2"/>
      <c r="H70" s="2"/>
      <c r="I70" s="2"/>
      <c r="J70" s="19"/>
      <c r="K70" s="2"/>
      <c r="L70" s="2">
        <f t="shared" si="0"/>
        <v>-565.08000000000004</v>
      </c>
      <c r="M70" s="2"/>
      <c r="N70" s="19">
        <f t="shared" si="1"/>
        <v>0</v>
      </c>
      <c r="O70" s="11"/>
      <c r="P70" s="2">
        <f>-2303.82</f>
        <v>-2303.8200000000002</v>
      </c>
      <c r="Q70" s="2"/>
      <c r="R70" s="19"/>
      <c r="S70" s="2"/>
      <c r="T70" s="2"/>
      <c r="U70" s="2"/>
      <c r="V70" s="19"/>
      <c r="W70" s="2"/>
      <c r="X70" s="2">
        <f t="shared" si="2"/>
        <v>-2303.8200000000002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"4243", " - ", "SALES RETURN TAXABLE-CARDS")</f>
        <v xml:space="preserve">          4243 - SALES RETURN TAXABLE-CARDS</v>
      </c>
      <c r="C71" s="11"/>
      <c r="D71" s="2">
        <f>-572.63</f>
        <v>-572.63</v>
      </c>
      <c r="E71" s="2"/>
      <c r="F71" s="19"/>
      <c r="G71" s="2"/>
      <c r="H71" s="2"/>
      <c r="I71" s="2"/>
      <c r="J71" s="19"/>
      <c r="K71" s="2"/>
      <c r="L71" s="2">
        <f t="shared" si="0"/>
        <v>-572.63</v>
      </c>
      <c r="M71" s="2"/>
      <c r="N71" s="19">
        <f t="shared" si="1"/>
        <v>0</v>
      </c>
      <c r="O71" s="11"/>
      <c r="P71" s="2">
        <f>-5942.23</f>
        <v>-5942.23</v>
      </c>
      <c r="Q71" s="2"/>
      <c r="R71" s="19"/>
      <c r="S71" s="2"/>
      <c r="T71" s="2"/>
      <c r="U71" s="2"/>
      <c r="V71" s="19"/>
      <c r="W71" s="2"/>
      <c r="X71" s="2">
        <f t="shared" si="2"/>
        <v>-5942.23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"4244", " - ", "SALES RETURN TAXABLE-ACCESSORI")</f>
        <v xml:space="preserve">          4244 - SALES RETURN TAXABLE-ACCESSORI</v>
      </c>
      <c r="C72" s="11"/>
      <c r="D72" s="2">
        <f>-240.42</f>
        <v>-240.42</v>
      </c>
      <c r="E72" s="2"/>
      <c r="F72" s="19"/>
      <c r="G72" s="2"/>
      <c r="H72" s="2"/>
      <c r="I72" s="2"/>
      <c r="J72" s="19"/>
      <c r="K72" s="2"/>
      <c r="L72" s="2">
        <f t="shared" si="0"/>
        <v>-240.42</v>
      </c>
      <c r="M72" s="2"/>
      <c r="N72" s="19">
        <f t="shared" si="1"/>
        <v>0</v>
      </c>
      <c r="O72" s="11"/>
      <c r="P72" s="2">
        <f>-1235.26</f>
        <v>-1235.26</v>
      </c>
      <c r="Q72" s="2"/>
      <c r="R72" s="19"/>
      <c r="S72" s="2"/>
      <c r="T72" s="2"/>
      <c r="U72" s="2"/>
      <c r="V72" s="19"/>
      <c r="W72" s="2"/>
      <c r="X72" s="2">
        <f t="shared" si="2"/>
        <v>-1235.26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"4245", " - ", "SALES RETURN TAXABLE-SPECIAL O")</f>
        <v xml:space="preserve">          4245 - SALES RETURN TAXABLE-SPECIAL O</v>
      </c>
      <c r="C73" s="11"/>
      <c r="D73" s="2">
        <f t="shared" ref="D73:D74" si="9"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-11353.59</f>
        <v>-11353.59</v>
      </c>
      <c r="Q73" s="2"/>
      <c r="R73" s="19"/>
      <c r="S73" s="2"/>
      <c r="T73" s="2"/>
      <c r="U73" s="2"/>
      <c r="V73" s="19"/>
      <c r="W73" s="2"/>
      <c r="X73" s="2">
        <f t="shared" si="2"/>
        <v>-11353.59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 t="shared" si="9"/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-3237.29</f>
        <v>-3237.29</v>
      </c>
      <c r="Q74" s="2"/>
      <c r="R74" s="19"/>
      <c r="S74" s="2"/>
      <c r="T74" s="2"/>
      <c r="U74" s="2"/>
      <c r="V74" s="19"/>
      <c r="W74" s="2"/>
      <c r="X74" s="2">
        <f t="shared" si="2"/>
        <v>-3237.29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>-270.87</f>
        <v>-270.87</v>
      </c>
      <c r="E75" s="2"/>
      <c r="F75" s="19"/>
      <c r="G75" s="2"/>
      <c r="H75" s="2"/>
      <c r="I75" s="2"/>
      <c r="J75" s="19"/>
      <c r="K75" s="2"/>
      <c r="L75" s="2">
        <f t="shared" si="0"/>
        <v>-270.87</v>
      </c>
      <c r="M75" s="2"/>
      <c r="N75" s="19">
        <f t="shared" si="1"/>
        <v>0</v>
      </c>
      <c r="O75" s="11"/>
      <c r="P75" s="2">
        <f>-2344.35</f>
        <v>-2344.35</v>
      </c>
      <c r="Q75" s="2"/>
      <c r="R75" s="19"/>
      <c r="S75" s="2"/>
      <c r="T75" s="2"/>
      <c r="U75" s="2"/>
      <c r="V75" s="19"/>
      <c r="W75" s="2"/>
      <c r="X75" s="2">
        <f t="shared" si="2"/>
        <v>-2344.35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>-275.04</f>
        <v>-275.04000000000002</v>
      </c>
      <c r="E76" s="2"/>
      <c r="F76" s="19"/>
      <c r="G76" s="2"/>
      <c r="H76" s="2"/>
      <c r="I76" s="2"/>
      <c r="J76" s="19"/>
      <c r="K76" s="2"/>
      <c r="L76" s="2">
        <f t="shared" si="0"/>
        <v>-275.04000000000002</v>
      </c>
      <c r="M76" s="2"/>
      <c r="N76" s="19">
        <f t="shared" si="1"/>
        <v>0</v>
      </c>
      <c r="O76" s="11"/>
      <c r="P76" s="2">
        <f>-27543.76</f>
        <v>-27543.759999999998</v>
      </c>
      <c r="Q76" s="2"/>
      <c r="R76" s="19"/>
      <c r="S76" s="2"/>
      <c r="T76" s="2"/>
      <c r="U76" s="2"/>
      <c r="V76" s="19"/>
      <c r="W76" s="2"/>
      <c r="X76" s="2">
        <f t="shared" si="2"/>
        <v>-27543.759999999998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"4340", " - ", "SALES RETURN NON TAXABLE-LOGO")</f>
        <v xml:space="preserve">          4340 - SALES RETURN NON TAXABLE-LOGO</v>
      </c>
      <c r="C77" s="11"/>
      <c r="D77" s="2">
        <f>-350.55</f>
        <v>-350.55</v>
      </c>
      <c r="E77" s="2"/>
      <c r="F77" s="19"/>
      <c r="G77" s="2"/>
      <c r="H77" s="2"/>
      <c r="I77" s="2"/>
      <c r="J77" s="19"/>
      <c r="K77" s="2"/>
      <c r="L77" s="2">
        <f t="shared" si="0"/>
        <v>-350.55</v>
      </c>
      <c r="M77" s="2"/>
      <c r="N77" s="19">
        <f t="shared" si="1"/>
        <v>0</v>
      </c>
      <c r="O77" s="11"/>
      <c r="P77" s="2">
        <f>-2643.39</f>
        <v>-2643.39</v>
      </c>
      <c r="Q77" s="2"/>
      <c r="R77" s="19"/>
      <c r="S77" s="2"/>
      <c r="T77" s="2"/>
      <c r="U77" s="2"/>
      <c r="V77" s="19"/>
      <c r="W77" s="2"/>
      <c r="X77" s="2">
        <f t="shared" si="2"/>
        <v>-2643.39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"4341", " - ", "SALES RETURN NON TAXABLE-LOGO")</f>
        <v xml:space="preserve">          4341 - SALES RETURN NON TAXABLE-LOGO</v>
      </c>
      <c r="C78" s="11"/>
      <c r="D78" s="2">
        <f>-29.9</f>
        <v>-29.9</v>
      </c>
      <c r="E78" s="2"/>
      <c r="F78" s="19"/>
      <c r="G78" s="2"/>
      <c r="H78" s="2"/>
      <c r="I78" s="2"/>
      <c r="J78" s="19"/>
      <c r="K78" s="2"/>
      <c r="L78" s="2">
        <f t="shared" si="0"/>
        <v>-29.9</v>
      </c>
      <c r="M78" s="2"/>
      <c r="N78" s="19">
        <f t="shared" si="1"/>
        <v>0</v>
      </c>
      <c r="O78" s="11"/>
      <c r="P78" s="2">
        <f>-392.54</f>
        <v>-392.54</v>
      </c>
      <c r="Q78" s="2"/>
      <c r="R78" s="19"/>
      <c r="S78" s="2"/>
      <c r="T78" s="2"/>
      <c r="U78" s="2"/>
      <c r="V78" s="19"/>
      <c r="W78" s="2"/>
      <c r="X78" s="2">
        <f t="shared" si="2"/>
        <v>-392.54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"4342", " - ", "SALES RETURN NON TAXABLE-EVERY")</f>
        <v xml:space="preserve">          4342 - SALES RETURN NON TAXABLE-EVERY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-118.7</f>
        <v>-118.7</v>
      </c>
      <c r="Q79" s="2"/>
      <c r="R79" s="19"/>
      <c r="S79" s="2"/>
      <c r="T79" s="2"/>
      <c r="U79" s="2"/>
      <c r="V79" s="19"/>
      <c r="W79" s="2"/>
      <c r="X79" s="2">
        <f t="shared" si="2"/>
        <v>-118.7</v>
      </c>
      <c r="Y79" s="2"/>
      <c r="Z79" s="19">
        <f t="shared" si="3"/>
        <v>0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collapsed="1" x14ac:dyDescent="0.25">
      <c r="A81" s="10"/>
      <c r="B81" s="28" t="s">
        <v>257</v>
      </c>
      <c r="C81" s="10"/>
      <c r="D81" s="4">
        <f>SUM(OSRRefD16x_0)</f>
        <v>98644.250000000044</v>
      </c>
      <c r="E81" s="4"/>
      <c r="F81" s="12">
        <f t="shared" ref="F81:F122" si="10">IF(D$12=0,0,D81/D$12)</f>
        <v>0.5361239819164868</v>
      </c>
      <c r="G81" s="4"/>
      <c r="H81" s="4">
        <f>SUM(OSRRefH16x_0)</f>
        <v>233908</v>
      </c>
      <c r="I81" s="4"/>
      <c r="J81" s="12">
        <f t="shared" ref="J81:J122" si="11">IF(H$12=0,0,H81/H$12)</f>
        <v>0.45451772053265554</v>
      </c>
      <c r="K81" s="4"/>
      <c r="L81" s="4">
        <f t="shared" ref="L81:L122" si="12">+D81-H81</f>
        <v>-135263.74999999994</v>
      </c>
      <c r="M81" s="4"/>
      <c r="N81" s="12">
        <f t="shared" ref="N81:N122" si="13">IF(H81=0,0,L81/H81)</f>
        <v>-0.57827757066880969</v>
      </c>
      <c r="O81" s="10"/>
      <c r="P81" s="4">
        <f>SUM(OSRRefP16x_0)</f>
        <v>2749195.1200000006</v>
      </c>
      <c r="Q81" s="4"/>
      <c r="R81" s="12">
        <f t="shared" ref="R81:R122" si="14">IF(P$12=0,0,P81/P$12)</f>
        <v>0.64429314215407296</v>
      </c>
      <c r="S81" s="4"/>
      <c r="T81" s="4">
        <f>SUM(OSRRefT16x_0)</f>
        <v>4794173</v>
      </c>
      <c r="U81" s="4"/>
      <c r="V81" s="12">
        <f t="shared" ref="V81:V122" si="15">IF(T$12=0,0,T81/T$12)</f>
        <v>0.58610284645723154</v>
      </c>
      <c r="W81" s="4"/>
      <c r="X81" s="4">
        <f t="shared" ref="X81:X122" si="16">+P81-T81</f>
        <v>-2044977.8799999994</v>
      </c>
      <c r="Y81" s="4"/>
      <c r="Z81" s="12">
        <f t="shared" ref="Z81:Z122" si="17">IF(T81=0,0,X81/T81)</f>
        <v>-0.42655487818232662</v>
      </c>
    </row>
    <row r="82" spans="1:26" s="24" customFormat="1" hidden="1" outlineLevel="1" x14ac:dyDescent="0.25">
      <c r="A82" s="44"/>
      <c r="B82" s="11" t="str">
        <f>CONCATENATE("          ", "5000", " - ", "PURCHASES @ COST")</f>
        <v xml:space="preserve">          5000 - PURCHASES @ COST</v>
      </c>
      <c r="C82" s="11"/>
      <c r="D82" s="2">
        <v>0</v>
      </c>
      <c r="E82" s="2"/>
      <c r="F82" s="19">
        <f t="shared" si="10"/>
        <v>0</v>
      </c>
      <c r="G82" s="2"/>
      <c r="H82" s="2">
        <v>233908</v>
      </c>
      <c r="I82" s="2"/>
      <c r="J82" s="19">
        <f t="shared" si="11"/>
        <v>0.45451772053265554</v>
      </c>
      <c r="K82" s="2"/>
      <c r="L82" s="2">
        <f t="shared" si="12"/>
        <v>-233908</v>
      </c>
      <c r="M82" s="2"/>
      <c r="N82" s="19">
        <f t="shared" si="13"/>
        <v>-1</v>
      </c>
      <c r="O82" s="11"/>
      <c r="P82" s="2">
        <v>0</v>
      </c>
      <c r="Q82" s="2"/>
      <c r="R82" s="19">
        <f t="shared" si="14"/>
        <v>0</v>
      </c>
      <c r="S82" s="2"/>
      <c r="T82" s="2">
        <v>4794173</v>
      </c>
      <c r="U82" s="2"/>
      <c r="V82" s="19">
        <f t="shared" si="15"/>
        <v>0.58610284645723154</v>
      </c>
      <c r="W82" s="2"/>
      <c r="X82" s="2">
        <f t="shared" si="16"/>
        <v>-4794173</v>
      </c>
      <c r="Y82" s="2"/>
      <c r="Z82" s="19">
        <f t="shared" si="17"/>
        <v>-1</v>
      </c>
    </row>
    <row r="83" spans="1:26" s="24" customFormat="1" hidden="1" outlineLevel="1" x14ac:dyDescent="0.25">
      <c r="A83" s="44"/>
      <c r="B83" s="11" t="str">
        <f>CONCATENATE("          ", "5001", " - ", "PURCHASES @ COST-NEW TEXT")</f>
        <v xml:space="preserve">          5001 - PURCHASES @ COST-NEW TEXT</v>
      </c>
      <c r="C83" s="11"/>
      <c r="D83" s="2">
        <v>-290899.24</v>
      </c>
      <c r="E83" s="2"/>
      <c r="F83" s="19">
        <f t="shared" si="10"/>
        <v>-1.5810152024601503</v>
      </c>
      <c r="G83" s="2"/>
      <c r="H83" s="2"/>
      <c r="I83" s="2"/>
      <c r="J83" s="19">
        <f t="shared" si="11"/>
        <v>0</v>
      </c>
      <c r="K83" s="2"/>
      <c r="L83" s="2">
        <f t="shared" si="12"/>
        <v>-290899.24</v>
      </c>
      <c r="M83" s="2"/>
      <c r="N83" s="19">
        <f t="shared" si="13"/>
        <v>0</v>
      </c>
      <c r="O83" s="11"/>
      <c r="P83" s="2">
        <v>1035516.4</v>
      </c>
      <c r="Q83" s="2"/>
      <c r="R83" s="19">
        <f t="shared" si="14"/>
        <v>0.24268052502147383</v>
      </c>
      <c r="S83" s="2"/>
      <c r="T83" s="2"/>
      <c r="U83" s="2"/>
      <c r="V83" s="19">
        <f t="shared" si="15"/>
        <v>0</v>
      </c>
      <c r="W83" s="2"/>
      <c r="X83" s="2">
        <f t="shared" si="16"/>
        <v>1035516.4</v>
      </c>
      <c r="Y83" s="2"/>
      <c r="Z83" s="19">
        <f t="shared" si="17"/>
        <v>0</v>
      </c>
    </row>
    <row r="84" spans="1:26" s="24" customFormat="1" hidden="1" outlineLevel="1" x14ac:dyDescent="0.25">
      <c r="A84" s="44"/>
      <c r="B84" s="11" t="str">
        <f>CONCATENATE("          ", "5002", " - ", "PURCHASES @ COST-USED TEXT")</f>
        <v xml:space="preserve">          5002 - PURCHASES @ COST-USED TEXT</v>
      </c>
      <c r="C84" s="11"/>
      <c r="D84" s="2">
        <v>14728.45</v>
      </c>
      <c r="E84" s="2"/>
      <c r="F84" s="19">
        <f t="shared" si="10"/>
        <v>8.0048003420958413E-2</v>
      </c>
      <c r="G84" s="2"/>
      <c r="H84" s="2"/>
      <c r="I84" s="2"/>
      <c r="J84" s="19">
        <f t="shared" si="11"/>
        <v>0</v>
      </c>
      <c r="K84" s="2"/>
      <c r="L84" s="2">
        <f t="shared" si="12"/>
        <v>14728.45</v>
      </c>
      <c r="M84" s="2"/>
      <c r="N84" s="19">
        <f t="shared" si="13"/>
        <v>0</v>
      </c>
      <c r="O84" s="11"/>
      <c r="P84" s="2">
        <v>397052.67</v>
      </c>
      <c r="Q84" s="2"/>
      <c r="R84" s="19">
        <f t="shared" si="14"/>
        <v>9.3052075676230708E-2</v>
      </c>
      <c r="S84" s="2"/>
      <c r="T84" s="2"/>
      <c r="U84" s="2"/>
      <c r="V84" s="19">
        <f t="shared" si="15"/>
        <v>0</v>
      </c>
      <c r="W84" s="2"/>
      <c r="X84" s="2">
        <f t="shared" si="16"/>
        <v>397052.67</v>
      </c>
      <c r="Y84" s="2"/>
      <c r="Z84" s="19">
        <f t="shared" si="17"/>
        <v>0</v>
      </c>
    </row>
    <row r="85" spans="1:26" s="24" customFormat="1" hidden="1" outlineLevel="1" x14ac:dyDescent="0.25">
      <c r="A85" s="44"/>
      <c r="B85" s="11" t="str">
        <f>CONCATENATE("          ", "5003", " - ", "PURCHASES @ COST-RENTAL TEXT")</f>
        <v xml:space="preserve">          5003 - PURCHASES @ COST-RENTAL TEXT</v>
      </c>
      <c r="C85" s="11"/>
      <c r="D85" s="2"/>
      <c r="E85" s="2"/>
      <c r="F85" s="19">
        <f t="shared" si="10"/>
        <v>0</v>
      </c>
      <c r="G85" s="2"/>
      <c r="H85" s="2"/>
      <c r="I85" s="2"/>
      <c r="J85" s="19">
        <f t="shared" si="11"/>
        <v>0</v>
      </c>
      <c r="K85" s="2"/>
      <c r="L85" s="2">
        <f t="shared" si="12"/>
        <v>0</v>
      </c>
      <c r="M85" s="2"/>
      <c r="N85" s="19">
        <f t="shared" si="13"/>
        <v>0</v>
      </c>
      <c r="O85" s="11"/>
      <c r="P85" s="2">
        <v>32.520000000000003</v>
      </c>
      <c r="Q85" s="2"/>
      <c r="R85" s="19">
        <f t="shared" si="14"/>
        <v>7.621289893330834E-6</v>
      </c>
      <c r="S85" s="2"/>
      <c r="T85" s="2"/>
      <c r="U85" s="2"/>
      <c r="V85" s="19">
        <f t="shared" si="15"/>
        <v>0</v>
      </c>
      <c r="W85" s="2"/>
      <c r="X85" s="2">
        <f t="shared" si="16"/>
        <v>32.520000000000003</v>
      </c>
      <c r="Y85" s="2"/>
      <c r="Z85" s="19">
        <f t="shared" si="17"/>
        <v>0</v>
      </c>
    </row>
    <row r="86" spans="1:26" s="24" customFormat="1" hidden="1" outlineLevel="1" x14ac:dyDescent="0.25">
      <c r="A86" s="44"/>
      <c r="B86" s="11" t="str">
        <f>CONCATENATE("          ", "5004", " - ", "PURCHASES @ COST-DIGITAL TEXT")</f>
        <v xml:space="preserve">          5004 - PURCHASES @ COST-DIGITAL TEXT</v>
      </c>
      <c r="C86" s="11"/>
      <c r="D86" s="2">
        <v>-13446.08</v>
      </c>
      <c r="E86" s="2"/>
      <c r="F86" s="19">
        <f t="shared" si="10"/>
        <v>-7.3078420189394033E-2</v>
      </c>
      <c r="G86" s="2"/>
      <c r="H86" s="2"/>
      <c r="I86" s="2"/>
      <c r="J86" s="19">
        <f t="shared" si="11"/>
        <v>0</v>
      </c>
      <c r="K86" s="2"/>
      <c r="L86" s="2">
        <f t="shared" si="12"/>
        <v>-13446.08</v>
      </c>
      <c r="M86" s="2"/>
      <c r="N86" s="19">
        <f t="shared" si="13"/>
        <v>0</v>
      </c>
      <c r="O86" s="11"/>
      <c r="P86" s="2">
        <v>206562.5</v>
      </c>
      <c r="Q86" s="2"/>
      <c r="R86" s="19">
        <f t="shared" si="14"/>
        <v>4.8409369421622085E-2</v>
      </c>
      <c r="S86" s="2"/>
      <c r="T86" s="2"/>
      <c r="U86" s="2"/>
      <c r="V86" s="19">
        <f t="shared" si="15"/>
        <v>0</v>
      </c>
      <c r="W86" s="2"/>
      <c r="X86" s="2">
        <f t="shared" si="16"/>
        <v>206562.5</v>
      </c>
      <c r="Y86" s="2"/>
      <c r="Z86" s="19">
        <f t="shared" si="17"/>
        <v>0</v>
      </c>
    </row>
    <row r="87" spans="1:26" s="24" customFormat="1" hidden="1" outlineLevel="1" x14ac:dyDescent="0.25">
      <c r="A87" s="44"/>
      <c r="B87" s="11" t="str">
        <f>CONCATENATE("          ", "5011", " - ", "PURCHASES @ COST-NO VALUE TEXT")</f>
        <v xml:space="preserve">          5011 - PURCHASES @ COST-NO VALUE TEXT</v>
      </c>
      <c r="C87" s="11"/>
      <c r="D87" s="2"/>
      <c r="E87" s="2"/>
      <c r="F87" s="19">
        <f t="shared" si="10"/>
        <v>0</v>
      </c>
      <c r="G87" s="2"/>
      <c r="H87" s="2"/>
      <c r="I87" s="2"/>
      <c r="J87" s="19">
        <f t="shared" si="11"/>
        <v>0</v>
      </c>
      <c r="K87" s="2"/>
      <c r="L87" s="2">
        <f t="shared" si="12"/>
        <v>0</v>
      </c>
      <c r="M87" s="2"/>
      <c r="N87" s="19">
        <f t="shared" si="13"/>
        <v>0</v>
      </c>
      <c r="O87" s="11"/>
      <c r="P87" s="2">
        <v>67.17</v>
      </c>
      <c r="Q87" s="2"/>
      <c r="R87" s="19">
        <f t="shared" si="14"/>
        <v>1.5741760213254371E-5</v>
      </c>
      <c r="S87" s="2"/>
      <c r="T87" s="2"/>
      <c r="U87" s="2"/>
      <c r="V87" s="19">
        <f t="shared" si="15"/>
        <v>0</v>
      </c>
      <c r="W87" s="2"/>
      <c r="X87" s="2">
        <f t="shared" si="16"/>
        <v>67.17</v>
      </c>
      <c r="Y87" s="2"/>
      <c r="Z87" s="19">
        <f t="shared" si="17"/>
        <v>0</v>
      </c>
    </row>
    <row r="88" spans="1:26" s="24" customFormat="1" hidden="1" outlineLevel="1" x14ac:dyDescent="0.25">
      <c r="A88" s="44"/>
      <c r="B88" s="11" t="str">
        <f>CONCATENATE("          ", "5013", " - ", "PURCHASES @ COST-TRADE BOOKS")</f>
        <v xml:space="preserve">          5013 - PURCHASES @ COST-TRADE BOOKS</v>
      </c>
      <c r="C88" s="11"/>
      <c r="D88" s="2">
        <v>2907.93</v>
      </c>
      <c r="E88" s="2"/>
      <c r="F88" s="19">
        <f t="shared" si="10"/>
        <v>1.5804377961557908E-2</v>
      </c>
      <c r="G88" s="2"/>
      <c r="H88" s="2"/>
      <c r="I88" s="2"/>
      <c r="J88" s="19">
        <f t="shared" si="11"/>
        <v>0</v>
      </c>
      <c r="K88" s="2"/>
      <c r="L88" s="2">
        <f t="shared" si="12"/>
        <v>2907.93</v>
      </c>
      <c r="M88" s="2"/>
      <c r="N88" s="19">
        <f t="shared" si="13"/>
        <v>0</v>
      </c>
      <c r="O88" s="11"/>
      <c r="P88" s="2">
        <v>8870.02</v>
      </c>
      <c r="Q88" s="2"/>
      <c r="R88" s="19">
        <f t="shared" si="14"/>
        <v>2.0787513462374651E-3</v>
      </c>
      <c r="S88" s="2"/>
      <c r="T88" s="2"/>
      <c r="U88" s="2"/>
      <c r="V88" s="19">
        <f t="shared" si="15"/>
        <v>0</v>
      </c>
      <c r="W88" s="2"/>
      <c r="X88" s="2">
        <f t="shared" si="16"/>
        <v>8870.02</v>
      </c>
      <c r="Y88" s="2"/>
      <c r="Z88" s="19">
        <f t="shared" si="17"/>
        <v>0</v>
      </c>
    </row>
    <row r="89" spans="1:26" s="24" customFormat="1" hidden="1" outlineLevel="1" x14ac:dyDescent="0.25">
      <c r="A89" s="44"/>
      <c r="B89" s="11" t="str">
        <f>CONCATENATE("          ", "5014", " - ", "PURCHASES @ COST-REMAINDERS")</f>
        <v xml:space="preserve">          5014 - PURCHASES @ COST-REMAINDERS</v>
      </c>
      <c r="C89" s="11"/>
      <c r="D89" s="2"/>
      <c r="E89" s="2"/>
      <c r="F89" s="19">
        <f t="shared" si="10"/>
        <v>0</v>
      </c>
      <c r="G89" s="2"/>
      <c r="H89" s="2"/>
      <c r="I89" s="2"/>
      <c r="J89" s="19">
        <f t="shared" si="11"/>
        <v>0</v>
      </c>
      <c r="K89" s="2"/>
      <c r="L89" s="2">
        <f t="shared" si="12"/>
        <v>0</v>
      </c>
      <c r="M89" s="2"/>
      <c r="N89" s="19">
        <f t="shared" si="13"/>
        <v>0</v>
      </c>
      <c r="O89" s="11"/>
      <c r="P89" s="2">
        <v>111.57</v>
      </c>
      <c r="Q89" s="2"/>
      <c r="R89" s="19">
        <f t="shared" si="14"/>
        <v>2.6147211359130412E-5</v>
      </c>
      <c r="S89" s="2"/>
      <c r="T89" s="2"/>
      <c r="U89" s="2"/>
      <c r="V89" s="19">
        <f t="shared" si="15"/>
        <v>0</v>
      </c>
      <c r="W89" s="2"/>
      <c r="X89" s="2">
        <f t="shared" si="16"/>
        <v>111.57</v>
      </c>
      <c r="Y89" s="2"/>
      <c r="Z89" s="19">
        <f t="shared" si="17"/>
        <v>0</v>
      </c>
    </row>
    <row r="90" spans="1:26" s="24" customFormat="1" hidden="1" outlineLevel="1" x14ac:dyDescent="0.25">
      <c r="A90" s="44"/>
      <c r="B90" s="11" t="str">
        <f>CONCATENATE("          ", "5018", " - ", "PURCHASES @ COST-STUDY GUIDES")</f>
        <v xml:space="preserve">          5018 - PURCHASES @ COST-STUDY GUIDES</v>
      </c>
      <c r="C90" s="11"/>
      <c r="D90" s="2">
        <v>444.87</v>
      </c>
      <c r="E90" s="2"/>
      <c r="F90" s="19">
        <f t="shared" si="10"/>
        <v>2.4178345502671203E-3</v>
      </c>
      <c r="G90" s="2"/>
      <c r="H90" s="2"/>
      <c r="I90" s="2"/>
      <c r="J90" s="19">
        <f t="shared" si="11"/>
        <v>0</v>
      </c>
      <c r="K90" s="2"/>
      <c r="L90" s="2">
        <f t="shared" si="12"/>
        <v>444.87</v>
      </c>
      <c r="M90" s="2"/>
      <c r="N90" s="19">
        <f t="shared" si="13"/>
        <v>0</v>
      </c>
      <c r="O90" s="11"/>
      <c r="P90" s="2">
        <v>967.21</v>
      </c>
      <c r="Q90" s="2"/>
      <c r="R90" s="19">
        <f t="shared" si="14"/>
        <v>2.266724415045669E-4</v>
      </c>
      <c r="S90" s="2"/>
      <c r="T90" s="2"/>
      <c r="U90" s="2"/>
      <c r="V90" s="19">
        <f t="shared" si="15"/>
        <v>0</v>
      </c>
      <c r="W90" s="2"/>
      <c r="X90" s="2">
        <f t="shared" si="16"/>
        <v>967.21</v>
      </c>
      <c r="Y90" s="2"/>
      <c r="Z90" s="19">
        <f t="shared" si="17"/>
        <v>0</v>
      </c>
    </row>
    <row r="91" spans="1:26" s="24" customFormat="1" hidden="1" outlineLevel="1" x14ac:dyDescent="0.25">
      <c r="A91" s="44"/>
      <c r="B91" s="11" t="str">
        <f>CONCATENATE("          ", "5025", " - ", "PURCHASES @ COST-TEST FORMS")</f>
        <v xml:space="preserve">          5025 - PURCHASES @ COST-TEST FORMS</v>
      </c>
      <c r="C91" s="11"/>
      <c r="D91" s="2"/>
      <c r="E91" s="2"/>
      <c r="F91" s="19">
        <f t="shared" si="10"/>
        <v>0</v>
      </c>
      <c r="G91" s="2"/>
      <c r="H91" s="2"/>
      <c r="I91" s="2"/>
      <c r="J91" s="19">
        <f t="shared" si="11"/>
        <v>0</v>
      </c>
      <c r="K91" s="2"/>
      <c r="L91" s="2">
        <f t="shared" si="12"/>
        <v>0</v>
      </c>
      <c r="M91" s="2"/>
      <c r="N91" s="19">
        <f t="shared" si="13"/>
        <v>0</v>
      </c>
      <c r="O91" s="11"/>
      <c r="P91" s="2">
        <v>599.29</v>
      </c>
      <c r="Q91" s="2"/>
      <c r="R91" s="19">
        <f t="shared" si="14"/>
        <v>1.404478111984697E-4</v>
      </c>
      <c r="S91" s="2"/>
      <c r="T91" s="2"/>
      <c r="U91" s="2"/>
      <c r="V91" s="19">
        <f t="shared" si="15"/>
        <v>0</v>
      </c>
      <c r="W91" s="2"/>
      <c r="X91" s="2">
        <f t="shared" si="16"/>
        <v>599.29</v>
      </c>
      <c r="Y91" s="2"/>
      <c r="Z91" s="19">
        <f t="shared" si="17"/>
        <v>0</v>
      </c>
    </row>
    <row r="92" spans="1:26" s="24" customFormat="1" hidden="1" outlineLevel="1" x14ac:dyDescent="0.25">
      <c r="A92" s="44"/>
      <c r="B92" s="11" t="str">
        <f>CONCATENATE("          ", "5026", " - ", "PURCHASES @ COST-WRITING INSTR")</f>
        <v xml:space="preserve">          5026 - PURCHASES @ COST-WRITING INSTR</v>
      </c>
      <c r="C92" s="11"/>
      <c r="D92" s="2">
        <v>209.64</v>
      </c>
      <c r="E92" s="2"/>
      <c r="F92" s="19">
        <f t="shared" si="10"/>
        <v>1.139377425130935E-3</v>
      </c>
      <c r="G92" s="2"/>
      <c r="H92" s="2"/>
      <c r="I92" s="2"/>
      <c r="J92" s="19">
        <f t="shared" si="11"/>
        <v>0</v>
      </c>
      <c r="K92" s="2"/>
      <c r="L92" s="2">
        <f t="shared" si="12"/>
        <v>209.64</v>
      </c>
      <c r="M92" s="2"/>
      <c r="N92" s="19">
        <f t="shared" si="13"/>
        <v>0</v>
      </c>
      <c r="O92" s="11"/>
      <c r="P92" s="2">
        <v>584.54999999999995</v>
      </c>
      <c r="Q92" s="2"/>
      <c r="R92" s="19">
        <f t="shared" si="14"/>
        <v>1.3699338890364509E-4</v>
      </c>
      <c r="S92" s="2"/>
      <c r="T92" s="2"/>
      <c r="U92" s="2"/>
      <c r="V92" s="19">
        <f t="shared" si="15"/>
        <v>0</v>
      </c>
      <c r="W92" s="2"/>
      <c r="X92" s="2">
        <f t="shared" si="16"/>
        <v>584.54999999999995</v>
      </c>
      <c r="Y92" s="2"/>
      <c r="Z92" s="19">
        <f t="shared" si="17"/>
        <v>0</v>
      </c>
    </row>
    <row r="93" spans="1:26" s="24" customFormat="1" hidden="1" outlineLevel="1" x14ac:dyDescent="0.25">
      <c r="A93" s="44"/>
      <c r="B93" s="11" t="str">
        <f>CONCATENATE("          ", "5027", " - ", "PURCHASES @ COST-SCHOOL SUPPLI")</f>
        <v xml:space="preserve">          5027 - PURCHASES @ COST-SCHOOL SUPPLI</v>
      </c>
      <c r="C93" s="11"/>
      <c r="D93" s="2">
        <v>2824.53</v>
      </c>
      <c r="E93" s="2"/>
      <c r="F93" s="19">
        <f t="shared" si="10"/>
        <v>1.5351105316757681E-2</v>
      </c>
      <c r="G93" s="2"/>
      <c r="H93" s="2"/>
      <c r="I93" s="2"/>
      <c r="J93" s="19">
        <f t="shared" si="11"/>
        <v>0</v>
      </c>
      <c r="K93" s="2"/>
      <c r="L93" s="2">
        <f t="shared" si="12"/>
        <v>2824.53</v>
      </c>
      <c r="M93" s="2"/>
      <c r="N93" s="19">
        <f t="shared" si="13"/>
        <v>0</v>
      </c>
      <c r="O93" s="11"/>
      <c r="P93" s="2">
        <v>21895.88</v>
      </c>
      <c r="Q93" s="2"/>
      <c r="R93" s="19">
        <f t="shared" si="14"/>
        <v>5.1314529197289283E-3</v>
      </c>
      <c r="S93" s="2"/>
      <c r="T93" s="2"/>
      <c r="U93" s="2"/>
      <c r="V93" s="19">
        <f t="shared" si="15"/>
        <v>0</v>
      </c>
      <c r="W93" s="2"/>
      <c r="X93" s="2">
        <f t="shared" si="16"/>
        <v>21895.88</v>
      </c>
      <c r="Y93" s="2"/>
      <c r="Z93" s="19">
        <f t="shared" si="17"/>
        <v>0</v>
      </c>
    </row>
    <row r="94" spans="1:26" s="24" customFormat="1" hidden="1" outlineLevel="1" x14ac:dyDescent="0.25">
      <c r="A94" s="44"/>
      <c r="B94" s="11" t="str">
        <f>CONCATENATE("          ", "5028", " - ", "PURCHASES @ COST-ART/TECH")</f>
        <v xml:space="preserve">          5028 - PURCHASES @ COST-ART/TECH</v>
      </c>
      <c r="C94" s="11"/>
      <c r="D94" s="2">
        <v>3443.78</v>
      </c>
      <c r="E94" s="2"/>
      <c r="F94" s="19">
        <f t="shared" si="10"/>
        <v>1.8716681879018374E-2</v>
      </c>
      <c r="G94" s="2"/>
      <c r="H94" s="2"/>
      <c r="I94" s="2"/>
      <c r="J94" s="19">
        <f t="shared" si="11"/>
        <v>0</v>
      </c>
      <c r="K94" s="2"/>
      <c r="L94" s="2">
        <f t="shared" si="12"/>
        <v>3443.78</v>
      </c>
      <c r="M94" s="2"/>
      <c r="N94" s="19">
        <f t="shared" si="13"/>
        <v>0</v>
      </c>
      <c r="O94" s="11"/>
      <c r="P94" s="2">
        <v>45635.360000000001</v>
      </c>
      <c r="Q94" s="2"/>
      <c r="R94" s="19">
        <f t="shared" si="14"/>
        <v>1.0694966419019502E-2</v>
      </c>
      <c r="S94" s="2"/>
      <c r="T94" s="2"/>
      <c r="U94" s="2"/>
      <c r="V94" s="19">
        <f t="shared" si="15"/>
        <v>0</v>
      </c>
      <c r="W94" s="2"/>
      <c r="X94" s="2">
        <f t="shared" si="16"/>
        <v>45635.360000000001</v>
      </c>
      <c r="Y94" s="2"/>
      <c r="Z94" s="19">
        <f t="shared" si="17"/>
        <v>0</v>
      </c>
    </row>
    <row r="95" spans="1:26" s="24" customFormat="1" hidden="1" outlineLevel="1" x14ac:dyDescent="0.25">
      <c r="A95" s="44"/>
      <c r="B95" s="11" t="str">
        <f>CONCATENATE("          ", "5031", " - ", "PURCHASES @ COST-FOOD")</f>
        <v xml:space="preserve">          5031 - PURCHASES @ COST-FOOD</v>
      </c>
      <c r="C95" s="11"/>
      <c r="D95" s="2"/>
      <c r="E95" s="2"/>
      <c r="F95" s="19">
        <f t="shared" si="10"/>
        <v>0</v>
      </c>
      <c r="G95" s="2"/>
      <c r="H95" s="2"/>
      <c r="I95" s="2"/>
      <c r="J95" s="19">
        <f t="shared" si="11"/>
        <v>0</v>
      </c>
      <c r="K95" s="2"/>
      <c r="L95" s="2">
        <f t="shared" si="12"/>
        <v>0</v>
      </c>
      <c r="M95" s="2"/>
      <c r="N95" s="19">
        <f t="shared" si="13"/>
        <v>0</v>
      </c>
      <c r="O95" s="11"/>
      <c r="P95" s="2">
        <v>7785.72</v>
      </c>
      <c r="Q95" s="2"/>
      <c r="R95" s="19">
        <f t="shared" si="14"/>
        <v>1.8246380426907669E-3</v>
      </c>
      <c r="S95" s="2"/>
      <c r="T95" s="2"/>
      <c r="U95" s="2"/>
      <c r="V95" s="19">
        <f t="shared" si="15"/>
        <v>0</v>
      </c>
      <c r="W95" s="2"/>
      <c r="X95" s="2">
        <f t="shared" si="16"/>
        <v>7785.72</v>
      </c>
      <c r="Y95" s="2"/>
      <c r="Z95" s="19">
        <f t="shared" si="17"/>
        <v>0</v>
      </c>
    </row>
    <row r="96" spans="1:26" s="24" customFormat="1" hidden="1" outlineLevel="1" x14ac:dyDescent="0.25">
      <c r="A96" s="44"/>
      <c r="B96" s="11" t="str">
        <f>CONCATENATE("          ", "5040", " - ", "PURCHASES @ COST-LOGO CLOTHING")</f>
        <v xml:space="preserve">          5040 - PURCHASES @ COST-LOGO CLOTHING</v>
      </c>
      <c r="C96" s="11"/>
      <c r="D96" s="2">
        <v>45900.51</v>
      </c>
      <c r="E96" s="2"/>
      <c r="F96" s="19">
        <f t="shared" si="10"/>
        <v>0.24946577416522009</v>
      </c>
      <c r="G96" s="2"/>
      <c r="H96" s="2"/>
      <c r="I96" s="2"/>
      <c r="J96" s="19">
        <f t="shared" si="11"/>
        <v>0</v>
      </c>
      <c r="K96" s="2"/>
      <c r="L96" s="2">
        <f t="shared" si="12"/>
        <v>45900.51</v>
      </c>
      <c r="M96" s="2"/>
      <c r="N96" s="19">
        <f t="shared" si="13"/>
        <v>0</v>
      </c>
      <c r="O96" s="11"/>
      <c r="P96" s="2">
        <v>239871.6</v>
      </c>
      <c r="Q96" s="2"/>
      <c r="R96" s="19">
        <f t="shared" si="14"/>
        <v>5.6215590429800011E-2</v>
      </c>
      <c r="S96" s="2"/>
      <c r="T96" s="2"/>
      <c r="U96" s="2"/>
      <c r="V96" s="19">
        <f t="shared" si="15"/>
        <v>0</v>
      </c>
      <c r="W96" s="2"/>
      <c r="X96" s="2">
        <f t="shared" si="16"/>
        <v>239871.6</v>
      </c>
      <c r="Y96" s="2"/>
      <c r="Z96" s="19">
        <f t="shared" si="17"/>
        <v>0</v>
      </c>
    </row>
    <row r="97" spans="1:26" s="24" customFormat="1" hidden="1" outlineLevel="1" x14ac:dyDescent="0.25">
      <c r="A97" s="44"/>
      <c r="B97" s="11" t="str">
        <f>CONCATENATE("          ", "5041", " - ", "PURCHASES @ COST-LOGO GIFTS")</f>
        <v xml:space="preserve">          5041 - PURCHASES @ COST-LOGO GIFTS</v>
      </c>
      <c r="C97" s="11"/>
      <c r="D97" s="2">
        <v>899.63</v>
      </c>
      <c r="E97" s="2"/>
      <c r="F97" s="19">
        <f t="shared" si="10"/>
        <v>4.8894204969020371E-3</v>
      </c>
      <c r="G97" s="2"/>
      <c r="H97" s="2"/>
      <c r="I97" s="2"/>
      <c r="J97" s="19">
        <f t="shared" si="11"/>
        <v>0</v>
      </c>
      <c r="K97" s="2"/>
      <c r="L97" s="2">
        <f t="shared" si="12"/>
        <v>899.63</v>
      </c>
      <c r="M97" s="2"/>
      <c r="N97" s="19">
        <f t="shared" si="13"/>
        <v>0</v>
      </c>
      <c r="O97" s="11"/>
      <c r="P97" s="2">
        <v>68463.44</v>
      </c>
      <c r="Q97" s="2"/>
      <c r="R97" s="19">
        <f t="shared" si="14"/>
        <v>1.604488694141027E-2</v>
      </c>
      <c r="S97" s="2"/>
      <c r="T97" s="2"/>
      <c r="U97" s="2"/>
      <c r="V97" s="19">
        <f t="shared" si="15"/>
        <v>0</v>
      </c>
      <c r="W97" s="2"/>
      <c r="X97" s="2">
        <f t="shared" si="16"/>
        <v>68463.44</v>
      </c>
      <c r="Y97" s="2"/>
      <c r="Z97" s="19">
        <f t="shared" si="17"/>
        <v>0</v>
      </c>
    </row>
    <row r="98" spans="1:26" s="24" customFormat="1" hidden="1" outlineLevel="1" x14ac:dyDescent="0.25">
      <c r="A98" s="44"/>
      <c r="B98" s="11" t="str">
        <f>CONCATENATE("          ", "5042", " - ", "PURCHASES @ COST-EVERYDAY GIFT")</f>
        <v xml:space="preserve">          5042 - PURCHASES @ COST-EVERYDAY GIFT</v>
      </c>
      <c r="C98" s="11"/>
      <c r="D98" s="2">
        <v>-270</v>
      </c>
      <c r="E98" s="2"/>
      <c r="F98" s="19">
        <f t="shared" si="10"/>
        <v>-1.467429425612252E-3</v>
      </c>
      <c r="G98" s="2"/>
      <c r="H98" s="2"/>
      <c r="I98" s="2"/>
      <c r="J98" s="19">
        <f t="shared" si="11"/>
        <v>0</v>
      </c>
      <c r="K98" s="2"/>
      <c r="L98" s="2">
        <f t="shared" si="12"/>
        <v>-270</v>
      </c>
      <c r="M98" s="2"/>
      <c r="N98" s="19">
        <f t="shared" si="13"/>
        <v>0</v>
      </c>
      <c r="O98" s="11"/>
      <c r="P98" s="2">
        <v>18748.18</v>
      </c>
      <c r="Q98" s="2"/>
      <c r="R98" s="19">
        <f t="shared" si="14"/>
        <v>4.393767366308342E-3</v>
      </c>
      <c r="S98" s="2"/>
      <c r="T98" s="2"/>
      <c r="U98" s="2"/>
      <c r="V98" s="19">
        <f t="shared" si="15"/>
        <v>0</v>
      </c>
      <c r="W98" s="2"/>
      <c r="X98" s="2">
        <f t="shared" si="16"/>
        <v>18748.18</v>
      </c>
      <c r="Y98" s="2"/>
      <c r="Z98" s="19">
        <f t="shared" si="17"/>
        <v>0</v>
      </c>
    </row>
    <row r="99" spans="1:26" s="24" customFormat="1" hidden="1" outlineLevel="1" x14ac:dyDescent="0.25">
      <c r="A99" s="44"/>
      <c r="B99" s="11" t="str">
        <f>CONCATENATE("          ", "5043", " - ", "PURCHASES @ COST-CARDS")</f>
        <v xml:space="preserve">          5043 - PURCHASES @ COST-CARDS</v>
      </c>
      <c r="C99" s="11"/>
      <c r="D99" s="2"/>
      <c r="E99" s="2"/>
      <c r="F99" s="19">
        <f t="shared" si="10"/>
        <v>0</v>
      </c>
      <c r="G99" s="2"/>
      <c r="H99" s="2"/>
      <c r="I99" s="2"/>
      <c r="J99" s="19">
        <f t="shared" si="11"/>
        <v>0</v>
      </c>
      <c r="K99" s="2"/>
      <c r="L99" s="2">
        <f t="shared" si="12"/>
        <v>0</v>
      </c>
      <c r="M99" s="2"/>
      <c r="N99" s="19">
        <f t="shared" si="13"/>
        <v>0</v>
      </c>
      <c r="O99" s="11"/>
      <c r="P99" s="2">
        <v>55364.33</v>
      </c>
      <c r="Q99" s="2"/>
      <c r="R99" s="19">
        <f t="shared" si="14"/>
        <v>1.2975018717098188E-2</v>
      </c>
      <c r="S99" s="2"/>
      <c r="T99" s="2"/>
      <c r="U99" s="2"/>
      <c r="V99" s="19">
        <f t="shared" si="15"/>
        <v>0</v>
      </c>
      <c r="W99" s="2"/>
      <c r="X99" s="2">
        <f t="shared" si="16"/>
        <v>55364.33</v>
      </c>
      <c r="Y99" s="2"/>
      <c r="Z99" s="19">
        <f t="shared" si="17"/>
        <v>0</v>
      </c>
    </row>
    <row r="100" spans="1:26" s="24" customFormat="1" hidden="1" outlineLevel="1" x14ac:dyDescent="0.25">
      <c r="A100" s="44"/>
      <c r="B100" s="11" t="str">
        <f>CONCATENATE("          ", "5044", " - ", "PURCHASES @ COST-ACCESSORIES")</f>
        <v xml:space="preserve">          5044 - PURCHASES @ COST-ACCESSORIES</v>
      </c>
      <c r="C100" s="11"/>
      <c r="D100" s="2"/>
      <c r="E100" s="2"/>
      <c r="F100" s="19">
        <f t="shared" si="10"/>
        <v>0</v>
      </c>
      <c r="G100" s="2"/>
      <c r="H100" s="2"/>
      <c r="I100" s="2"/>
      <c r="J100" s="19">
        <f t="shared" si="11"/>
        <v>0</v>
      </c>
      <c r="K100" s="2"/>
      <c r="L100" s="2">
        <f t="shared" si="12"/>
        <v>0</v>
      </c>
      <c r="M100" s="2"/>
      <c r="N100" s="19">
        <f t="shared" si="13"/>
        <v>0</v>
      </c>
      <c r="O100" s="11"/>
      <c r="P100" s="2">
        <v>1064.83</v>
      </c>
      <c r="Q100" s="2"/>
      <c r="R100" s="19">
        <f t="shared" si="14"/>
        <v>2.4955037260502677E-4</v>
      </c>
      <c r="S100" s="2"/>
      <c r="T100" s="2"/>
      <c r="U100" s="2"/>
      <c r="V100" s="19">
        <f t="shared" si="15"/>
        <v>0</v>
      </c>
      <c r="W100" s="2"/>
      <c r="X100" s="2">
        <f t="shared" si="16"/>
        <v>1064.83</v>
      </c>
      <c r="Y100" s="2"/>
      <c r="Z100" s="19">
        <f t="shared" si="17"/>
        <v>0</v>
      </c>
    </row>
    <row r="101" spans="1:26" s="24" customFormat="1" hidden="1" outlineLevel="1" x14ac:dyDescent="0.25">
      <c r="A101" s="44"/>
      <c r="B101" s="11" t="str">
        <f>CONCATENATE("          ", "5045", " - ", "PURCHASES @ COST-SPECIAL ORDER")</f>
        <v xml:space="preserve">          5045 - PURCHASES @ COST-SPECIAL ORDER</v>
      </c>
      <c r="C101" s="11"/>
      <c r="D101" s="2">
        <v>13853.18</v>
      </c>
      <c r="E101" s="2"/>
      <c r="F101" s="19">
        <f t="shared" si="10"/>
        <v>7.5290977667789388E-2</v>
      </c>
      <c r="G101" s="2"/>
      <c r="H101" s="2"/>
      <c r="I101" s="2"/>
      <c r="J101" s="19">
        <f t="shared" si="11"/>
        <v>0</v>
      </c>
      <c r="K101" s="2"/>
      <c r="L101" s="2">
        <f t="shared" si="12"/>
        <v>13853.18</v>
      </c>
      <c r="M101" s="2"/>
      <c r="N101" s="19">
        <f t="shared" si="13"/>
        <v>0</v>
      </c>
      <c r="O101" s="11"/>
      <c r="P101" s="2">
        <v>109226.69</v>
      </c>
      <c r="Q101" s="2"/>
      <c r="R101" s="19">
        <f t="shared" si="14"/>
        <v>2.5598040239206029E-2</v>
      </c>
      <c r="S101" s="2"/>
      <c r="T101" s="2"/>
      <c r="U101" s="2"/>
      <c r="V101" s="19">
        <f t="shared" si="15"/>
        <v>0</v>
      </c>
      <c r="W101" s="2"/>
      <c r="X101" s="2">
        <f t="shared" si="16"/>
        <v>109226.69</v>
      </c>
      <c r="Y101" s="2"/>
      <c r="Z101" s="19">
        <f t="shared" si="17"/>
        <v>0</v>
      </c>
    </row>
    <row r="102" spans="1:26" s="24" customFormat="1" hidden="1" outlineLevel="1" x14ac:dyDescent="0.25">
      <c r="A102" s="44"/>
      <c r="B102" s="11" t="str">
        <f>CONCATENATE("          ", "5053", " - ", "PURCHASES @ COST-FOOD")</f>
        <v xml:space="preserve">          5053 - PURCHASES @ COST-FOOD</v>
      </c>
      <c r="C102" s="11"/>
      <c r="D102" s="2">
        <v>176.4</v>
      </c>
      <c r="E102" s="2"/>
      <c r="F102" s="19">
        <f t="shared" si="10"/>
        <v>9.5872055806667125E-4</v>
      </c>
      <c r="G102" s="2"/>
      <c r="H102" s="2"/>
      <c r="I102" s="2"/>
      <c r="J102" s="19">
        <f t="shared" si="11"/>
        <v>0</v>
      </c>
      <c r="K102" s="2"/>
      <c r="L102" s="2">
        <f t="shared" si="12"/>
        <v>176.4</v>
      </c>
      <c r="M102" s="2"/>
      <c r="N102" s="19">
        <f t="shared" si="13"/>
        <v>0</v>
      </c>
      <c r="O102" s="11"/>
      <c r="P102" s="2">
        <v>-2646.55</v>
      </c>
      <c r="Q102" s="2"/>
      <c r="R102" s="19">
        <f t="shared" si="14"/>
        <v>-6.2023753896662723E-4</v>
      </c>
      <c r="S102" s="2"/>
      <c r="T102" s="2"/>
      <c r="U102" s="2"/>
      <c r="V102" s="19">
        <f t="shared" si="15"/>
        <v>0</v>
      </c>
      <c r="W102" s="2"/>
      <c r="X102" s="2">
        <f t="shared" si="16"/>
        <v>-2646.55</v>
      </c>
      <c r="Y102" s="2"/>
      <c r="Z102" s="19">
        <f t="shared" si="17"/>
        <v>0</v>
      </c>
    </row>
    <row r="103" spans="1:26" s="24" customFormat="1" hidden="1" outlineLevel="1" x14ac:dyDescent="0.25">
      <c r="A103" s="44"/>
      <c r="B103" s="11" t="str">
        <f>CONCATENATE("          ", "5059", " - ", "PURCHASES @ COST-FOOD")</f>
        <v xml:space="preserve">          5059 - PURCHASES @ COST-FOOD</v>
      </c>
      <c r="C103" s="11"/>
      <c r="D103" s="2">
        <v>19</v>
      </c>
      <c r="E103" s="2"/>
      <c r="F103" s="19">
        <f t="shared" si="10"/>
        <v>1.0326355217271402E-4</v>
      </c>
      <c r="G103" s="2"/>
      <c r="H103" s="2"/>
      <c r="I103" s="2"/>
      <c r="J103" s="19">
        <f t="shared" si="11"/>
        <v>0</v>
      </c>
      <c r="K103" s="2"/>
      <c r="L103" s="2">
        <f t="shared" si="12"/>
        <v>19</v>
      </c>
      <c r="M103" s="2"/>
      <c r="N103" s="19">
        <f t="shared" si="13"/>
        <v>0</v>
      </c>
      <c r="O103" s="11"/>
      <c r="P103" s="2">
        <v>30865.91</v>
      </c>
      <c r="Q103" s="2"/>
      <c r="R103" s="19">
        <f t="shared" si="14"/>
        <v>7.2336423103154706E-3</v>
      </c>
      <c r="S103" s="2"/>
      <c r="T103" s="2"/>
      <c r="U103" s="2"/>
      <c r="V103" s="19">
        <f t="shared" si="15"/>
        <v>0</v>
      </c>
      <c r="W103" s="2"/>
      <c r="X103" s="2">
        <f t="shared" si="16"/>
        <v>30865.91</v>
      </c>
      <c r="Y103" s="2"/>
      <c r="Z103" s="19">
        <f t="shared" si="17"/>
        <v>0</v>
      </c>
    </row>
    <row r="104" spans="1:26" s="24" customFormat="1" hidden="1" outlineLevel="1" x14ac:dyDescent="0.25">
      <c r="A104" s="44"/>
      <c r="B104" s="11" t="str">
        <f>CONCATENATE("          ", "5086", " - ", "PURCHASES @ COST-COMPUTER SUPP")</f>
        <v xml:space="preserve">          5086 - PURCHASES @ COST-COMPUTER SUPP</v>
      </c>
      <c r="C104" s="11"/>
      <c r="D104" s="2"/>
      <c r="E104" s="2"/>
      <c r="F104" s="19">
        <f t="shared" si="10"/>
        <v>0</v>
      </c>
      <c r="G104" s="2"/>
      <c r="H104" s="2"/>
      <c r="I104" s="2"/>
      <c r="J104" s="19">
        <f t="shared" si="11"/>
        <v>0</v>
      </c>
      <c r="K104" s="2"/>
      <c r="L104" s="2">
        <f t="shared" si="12"/>
        <v>0</v>
      </c>
      <c r="M104" s="2"/>
      <c r="N104" s="19">
        <f t="shared" si="13"/>
        <v>0</v>
      </c>
      <c r="O104" s="11"/>
      <c r="P104" s="2">
        <v>13.21</v>
      </c>
      <c r="Q104" s="2"/>
      <c r="R104" s="19">
        <f t="shared" si="14"/>
        <v>3.0958560729059138E-6</v>
      </c>
      <c r="S104" s="2"/>
      <c r="T104" s="2"/>
      <c r="U104" s="2"/>
      <c r="V104" s="19">
        <f t="shared" si="15"/>
        <v>0</v>
      </c>
      <c r="W104" s="2"/>
      <c r="X104" s="2">
        <f t="shared" si="16"/>
        <v>13.21</v>
      </c>
      <c r="Y104" s="2"/>
      <c r="Z104" s="19">
        <f t="shared" si="17"/>
        <v>0</v>
      </c>
    </row>
    <row r="105" spans="1:26" s="24" customFormat="1" hidden="1" outlineLevel="1" x14ac:dyDescent="0.25">
      <c r="A105" s="44"/>
      <c r="B105" s="11" t="str">
        <f>CONCATENATE("          ", "5092", " - ", "PURCHASES @ COST-GRAD MERCH")</f>
        <v xml:space="preserve">          5092 - PURCHASES @ COST-GRAD MERCH</v>
      </c>
      <c r="C105" s="11"/>
      <c r="D105" s="2"/>
      <c r="E105" s="2"/>
      <c r="F105" s="19">
        <f t="shared" si="10"/>
        <v>0</v>
      </c>
      <c r="G105" s="2"/>
      <c r="H105" s="2"/>
      <c r="I105" s="2"/>
      <c r="J105" s="19">
        <f t="shared" si="11"/>
        <v>0</v>
      </c>
      <c r="K105" s="2"/>
      <c r="L105" s="2">
        <f t="shared" si="12"/>
        <v>0</v>
      </c>
      <c r="M105" s="2"/>
      <c r="N105" s="19">
        <f t="shared" si="13"/>
        <v>0</v>
      </c>
      <c r="O105" s="11"/>
      <c r="P105" s="2">
        <v>0</v>
      </c>
      <c r="Q105" s="2"/>
      <c r="R105" s="19">
        <f t="shared" si="14"/>
        <v>0</v>
      </c>
      <c r="S105" s="2"/>
      <c r="T105" s="2"/>
      <c r="U105" s="2"/>
      <c r="V105" s="19">
        <f t="shared" si="15"/>
        <v>0</v>
      </c>
      <c r="W105" s="2"/>
      <c r="X105" s="2">
        <f t="shared" si="16"/>
        <v>0</v>
      </c>
      <c r="Y105" s="2"/>
      <c r="Z105" s="19">
        <f t="shared" si="17"/>
        <v>0</v>
      </c>
    </row>
    <row r="106" spans="1:26" s="24" customFormat="1" hidden="1" outlineLevel="1" x14ac:dyDescent="0.25">
      <c r="A106" s="44"/>
      <c r="B106" s="11" t="str">
        <f>CONCATENATE("          ", "5200", " - ", "PURCHASES OFFSET")</f>
        <v xml:space="preserve">          5200 - PURCHASES OFFSET</v>
      </c>
      <c r="C106" s="11"/>
      <c r="D106" s="2">
        <v>217068.52</v>
      </c>
      <c r="E106" s="2"/>
      <c r="F106" s="19">
        <f t="shared" si="10"/>
        <v>1.179750865267043</v>
      </c>
      <c r="G106" s="2"/>
      <c r="H106" s="2"/>
      <c r="I106" s="2"/>
      <c r="J106" s="19">
        <f t="shared" si="11"/>
        <v>0</v>
      </c>
      <c r="K106" s="2"/>
      <c r="L106" s="2">
        <f t="shared" si="12"/>
        <v>217068.52</v>
      </c>
      <c r="M106" s="2"/>
      <c r="N106" s="19">
        <f t="shared" si="13"/>
        <v>0</v>
      </c>
      <c r="O106" s="11"/>
      <c r="P106" s="2">
        <v>-1763948.92</v>
      </c>
      <c r="Q106" s="2"/>
      <c r="R106" s="19">
        <f t="shared" si="14"/>
        <v>-0.4133937907856039</v>
      </c>
      <c r="S106" s="2"/>
      <c r="T106" s="2"/>
      <c r="U106" s="2"/>
      <c r="V106" s="19">
        <f t="shared" si="15"/>
        <v>0</v>
      </c>
      <c r="W106" s="2"/>
      <c r="X106" s="2">
        <f t="shared" si="16"/>
        <v>-1763948.92</v>
      </c>
      <c r="Y106" s="2"/>
      <c r="Z106" s="19">
        <f t="shared" si="17"/>
        <v>0</v>
      </c>
    </row>
    <row r="107" spans="1:26" s="24" customFormat="1" hidden="1" outlineLevel="1" x14ac:dyDescent="0.25">
      <c r="A107" s="44"/>
      <c r="B107" s="11" t="str">
        <f>CONCATENATE("          ", "5300", " - ", "COG$ OFFSET")</f>
        <v xml:space="preserve">          5300 - COG$ OFFSET</v>
      </c>
      <c r="C107" s="11"/>
      <c r="D107" s="2">
        <v>97595</v>
      </c>
      <c r="E107" s="2"/>
      <c r="F107" s="19">
        <f t="shared" si="10"/>
        <v>0.53042138812084338</v>
      </c>
      <c r="G107" s="2"/>
      <c r="H107" s="2"/>
      <c r="I107" s="2"/>
      <c r="J107" s="19">
        <f t="shared" si="11"/>
        <v>0</v>
      </c>
      <c r="K107" s="2"/>
      <c r="L107" s="2">
        <f t="shared" si="12"/>
        <v>97595</v>
      </c>
      <c r="M107" s="2"/>
      <c r="N107" s="19">
        <f t="shared" si="13"/>
        <v>0</v>
      </c>
      <c r="O107" s="11"/>
      <c r="P107" s="2">
        <v>2177508</v>
      </c>
      <c r="Q107" s="2"/>
      <c r="R107" s="19">
        <f t="shared" si="14"/>
        <v>0.5103142593187896</v>
      </c>
      <c r="S107" s="2"/>
      <c r="T107" s="2"/>
      <c r="U107" s="2"/>
      <c r="V107" s="19">
        <f t="shared" si="15"/>
        <v>0</v>
      </c>
      <c r="W107" s="2"/>
      <c r="X107" s="2">
        <f t="shared" si="16"/>
        <v>2177508</v>
      </c>
      <c r="Y107" s="2"/>
      <c r="Z107" s="19">
        <f t="shared" si="17"/>
        <v>0</v>
      </c>
    </row>
    <row r="108" spans="1:26" s="24" customFormat="1" hidden="1" outlineLevel="1" x14ac:dyDescent="0.25">
      <c r="A108" s="44"/>
      <c r="B108" s="11" t="str">
        <f>CONCATENATE("          ", "5500", " - ", "FREIGHT-IN")</f>
        <v xml:space="preserve">          5500 - FREIGHT-IN</v>
      </c>
      <c r="C108" s="11"/>
      <c r="D108" s="2"/>
      <c r="E108" s="2"/>
      <c r="F108" s="19">
        <f t="shared" si="10"/>
        <v>0</v>
      </c>
      <c r="G108" s="2"/>
      <c r="H108" s="2"/>
      <c r="I108" s="2"/>
      <c r="J108" s="19">
        <f t="shared" si="11"/>
        <v>0</v>
      </c>
      <c r="K108" s="2"/>
      <c r="L108" s="2">
        <f t="shared" si="12"/>
        <v>0</v>
      </c>
      <c r="M108" s="2"/>
      <c r="N108" s="19">
        <f t="shared" si="13"/>
        <v>0</v>
      </c>
      <c r="O108" s="11"/>
      <c r="P108" s="2">
        <v>0</v>
      </c>
      <c r="Q108" s="2"/>
      <c r="R108" s="19">
        <f t="shared" si="14"/>
        <v>0</v>
      </c>
      <c r="S108" s="2"/>
      <c r="T108" s="2"/>
      <c r="U108" s="2"/>
      <c r="V108" s="19">
        <f t="shared" si="15"/>
        <v>0</v>
      </c>
      <c r="W108" s="2"/>
      <c r="X108" s="2">
        <f t="shared" si="16"/>
        <v>0</v>
      </c>
      <c r="Y108" s="2"/>
      <c r="Z108" s="19">
        <f t="shared" si="17"/>
        <v>0</v>
      </c>
    </row>
    <row r="109" spans="1:26" s="24" customFormat="1" hidden="1" outlineLevel="1" x14ac:dyDescent="0.25">
      <c r="A109" s="44"/>
      <c r="B109" s="11" t="str">
        <f>CONCATENATE("          ", "5501", " - ", "FREIGHT-IN-NEW TEXT")</f>
        <v xml:space="preserve">          5501 - FREIGHT-IN-NEW TEXT</v>
      </c>
      <c r="C109" s="11"/>
      <c r="D109" s="2">
        <v>785.54</v>
      </c>
      <c r="E109" s="2"/>
      <c r="F109" s="19">
        <f t="shared" si="10"/>
        <v>4.2693500407238825E-3</v>
      </c>
      <c r="G109" s="2"/>
      <c r="H109" s="2"/>
      <c r="I109" s="2"/>
      <c r="J109" s="19">
        <f t="shared" si="11"/>
        <v>0</v>
      </c>
      <c r="K109" s="2"/>
      <c r="L109" s="2">
        <f t="shared" si="12"/>
        <v>785.54</v>
      </c>
      <c r="M109" s="2"/>
      <c r="N109" s="19">
        <f t="shared" si="13"/>
        <v>0</v>
      </c>
      <c r="O109" s="11"/>
      <c r="P109" s="2">
        <v>50042.46</v>
      </c>
      <c r="Q109" s="2"/>
      <c r="R109" s="19">
        <f t="shared" si="14"/>
        <v>1.1727801188050816E-2</v>
      </c>
      <c r="S109" s="2"/>
      <c r="T109" s="2"/>
      <c r="U109" s="2"/>
      <c r="V109" s="19">
        <f t="shared" si="15"/>
        <v>0</v>
      </c>
      <c r="W109" s="2"/>
      <c r="X109" s="2">
        <f t="shared" si="16"/>
        <v>50042.46</v>
      </c>
      <c r="Y109" s="2"/>
      <c r="Z109" s="19">
        <f t="shared" si="17"/>
        <v>0</v>
      </c>
    </row>
    <row r="110" spans="1:26" s="24" customFormat="1" hidden="1" outlineLevel="1" x14ac:dyDescent="0.25">
      <c r="A110" s="44"/>
      <c r="B110" s="11" t="str">
        <f>CONCATENATE("          ", "5502", " - ", "FREIGHT-IN-USED TEXT")</f>
        <v xml:space="preserve">          5502 - FREIGHT-IN-USED TEXT</v>
      </c>
      <c r="C110" s="11"/>
      <c r="D110" s="2">
        <v>663.37</v>
      </c>
      <c r="E110" s="2"/>
      <c r="F110" s="19">
        <f t="shared" si="10"/>
        <v>3.6053654002533315E-3</v>
      </c>
      <c r="G110" s="2"/>
      <c r="H110" s="2"/>
      <c r="I110" s="2"/>
      <c r="J110" s="19">
        <f t="shared" si="11"/>
        <v>0</v>
      </c>
      <c r="K110" s="2"/>
      <c r="L110" s="2">
        <f t="shared" si="12"/>
        <v>663.37</v>
      </c>
      <c r="M110" s="2"/>
      <c r="N110" s="19">
        <f t="shared" si="13"/>
        <v>0</v>
      </c>
      <c r="O110" s="11"/>
      <c r="P110" s="2">
        <v>17800.13</v>
      </c>
      <c r="Q110" s="2"/>
      <c r="R110" s="19">
        <f t="shared" si="14"/>
        <v>4.1715852050730317E-3</v>
      </c>
      <c r="S110" s="2"/>
      <c r="T110" s="2"/>
      <c r="U110" s="2"/>
      <c r="V110" s="19">
        <f t="shared" si="15"/>
        <v>0</v>
      </c>
      <c r="W110" s="2"/>
      <c r="X110" s="2">
        <f t="shared" si="16"/>
        <v>17800.13</v>
      </c>
      <c r="Y110" s="2"/>
      <c r="Z110" s="19">
        <f t="shared" si="17"/>
        <v>0</v>
      </c>
    </row>
    <row r="111" spans="1:26" s="24" customFormat="1" hidden="1" outlineLevel="1" x14ac:dyDescent="0.25">
      <c r="A111" s="44"/>
      <c r="B111" s="11" t="str">
        <f>CONCATENATE("          ", "5504", " - ", "FREIGHT-IN-DIGITAL TEXT")</f>
        <v xml:space="preserve">          5504 - FREIGHT-IN-DIGITAL TEXT</v>
      </c>
      <c r="C111" s="11"/>
      <c r="D111" s="2"/>
      <c r="E111" s="2"/>
      <c r="F111" s="19">
        <f t="shared" si="10"/>
        <v>0</v>
      </c>
      <c r="G111" s="2"/>
      <c r="H111" s="2"/>
      <c r="I111" s="2"/>
      <c r="J111" s="19">
        <f t="shared" si="11"/>
        <v>0</v>
      </c>
      <c r="K111" s="2"/>
      <c r="L111" s="2">
        <f t="shared" si="12"/>
        <v>0</v>
      </c>
      <c r="M111" s="2"/>
      <c r="N111" s="19">
        <f t="shared" si="13"/>
        <v>0</v>
      </c>
      <c r="O111" s="11"/>
      <c r="P111" s="2">
        <v>28.92</v>
      </c>
      <c r="Q111" s="2"/>
      <c r="R111" s="19">
        <f t="shared" si="14"/>
        <v>6.7776046652868303E-6</v>
      </c>
      <c r="S111" s="2"/>
      <c r="T111" s="2"/>
      <c r="U111" s="2"/>
      <c r="V111" s="19">
        <f t="shared" si="15"/>
        <v>0</v>
      </c>
      <c r="W111" s="2"/>
      <c r="X111" s="2">
        <f t="shared" si="16"/>
        <v>28.92</v>
      </c>
      <c r="Y111" s="2"/>
      <c r="Z111" s="19">
        <f t="shared" si="17"/>
        <v>0</v>
      </c>
    </row>
    <row r="112" spans="1:26" s="24" customFormat="1" hidden="1" outlineLevel="1" x14ac:dyDescent="0.25">
      <c r="A112" s="44"/>
      <c r="B112" s="11" t="str">
        <f>CONCATENATE("          ", "5513", " - ", "FREIGHT-IN-TRADE BOOKS")</f>
        <v xml:space="preserve">          5513 - FREIGHT-IN-TRADE BOOKS</v>
      </c>
      <c r="C112" s="11"/>
      <c r="D112" s="2">
        <v>51.76</v>
      </c>
      <c r="E112" s="2"/>
      <c r="F112" s="19">
        <f t="shared" si="10"/>
        <v>2.8131165581366722E-4</v>
      </c>
      <c r="G112" s="2"/>
      <c r="H112" s="2"/>
      <c r="I112" s="2"/>
      <c r="J112" s="19">
        <f t="shared" si="11"/>
        <v>0</v>
      </c>
      <c r="K112" s="2"/>
      <c r="L112" s="2">
        <f t="shared" si="12"/>
        <v>51.76</v>
      </c>
      <c r="M112" s="2"/>
      <c r="N112" s="19">
        <f t="shared" si="13"/>
        <v>0</v>
      </c>
      <c r="O112" s="11"/>
      <c r="P112" s="2">
        <v>85.28</v>
      </c>
      <c r="Q112" s="2"/>
      <c r="R112" s="19">
        <f t="shared" si="14"/>
        <v>1.9985965624331288E-5</v>
      </c>
      <c r="S112" s="2"/>
      <c r="T112" s="2"/>
      <c r="U112" s="2"/>
      <c r="V112" s="19">
        <f t="shared" si="15"/>
        <v>0</v>
      </c>
      <c r="W112" s="2"/>
      <c r="X112" s="2">
        <f t="shared" si="16"/>
        <v>85.28</v>
      </c>
      <c r="Y112" s="2"/>
      <c r="Z112" s="19">
        <f t="shared" si="17"/>
        <v>0</v>
      </c>
    </row>
    <row r="113" spans="1:26" s="24" customFormat="1" hidden="1" outlineLevel="1" x14ac:dyDescent="0.25">
      <c r="A113" s="44"/>
      <c r="B113" s="11" t="str">
        <f>CONCATENATE("          ", "5525", " - ", "FREIGHT-IN-TEST FORMS")</f>
        <v xml:space="preserve">          5525 - FREIGHT-IN-TEST FORMS</v>
      </c>
      <c r="C113" s="11"/>
      <c r="D113" s="2"/>
      <c r="E113" s="2"/>
      <c r="F113" s="19">
        <f t="shared" si="10"/>
        <v>0</v>
      </c>
      <c r="G113" s="2"/>
      <c r="H113" s="2"/>
      <c r="I113" s="2"/>
      <c r="J113" s="19">
        <f t="shared" si="11"/>
        <v>0</v>
      </c>
      <c r="K113" s="2"/>
      <c r="L113" s="2">
        <f t="shared" si="12"/>
        <v>0</v>
      </c>
      <c r="M113" s="2"/>
      <c r="N113" s="19">
        <f t="shared" si="13"/>
        <v>0</v>
      </c>
      <c r="O113" s="11"/>
      <c r="P113" s="2">
        <v>48.14</v>
      </c>
      <c r="Q113" s="2"/>
      <c r="R113" s="19">
        <f t="shared" si="14"/>
        <v>1.128194635501065E-5</v>
      </c>
      <c r="S113" s="2"/>
      <c r="T113" s="2"/>
      <c r="U113" s="2"/>
      <c r="V113" s="19">
        <f t="shared" si="15"/>
        <v>0</v>
      </c>
      <c r="W113" s="2"/>
      <c r="X113" s="2">
        <f t="shared" si="16"/>
        <v>48.14</v>
      </c>
      <c r="Y113" s="2"/>
      <c r="Z113" s="19">
        <f t="shared" si="17"/>
        <v>0</v>
      </c>
    </row>
    <row r="114" spans="1:26" s="24" customFormat="1" hidden="1" outlineLevel="1" x14ac:dyDescent="0.25">
      <c r="A114" s="44"/>
      <c r="B114" s="11" t="str">
        <f>CONCATENATE("          ", "5526", " - ", "FREIGHT-IN-WRITING INSTRUMENTS")</f>
        <v xml:space="preserve">          5526 - FREIGHT-IN-WRITING INSTRUMENTS</v>
      </c>
      <c r="C114" s="11"/>
      <c r="D114" s="2"/>
      <c r="E114" s="2"/>
      <c r="F114" s="19">
        <f t="shared" si="10"/>
        <v>0</v>
      </c>
      <c r="G114" s="2"/>
      <c r="H114" s="2"/>
      <c r="I114" s="2"/>
      <c r="J114" s="19">
        <f t="shared" si="11"/>
        <v>0</v>
      </c>
      <c r="K114" s="2"/>
      <c r="L114" s="2">
        <f t="shared" si="12"/>
        <v>0</v>
      </c>
      <c r="M114" s="2"/>
      <c r="N114" s="19">
        <f t="shared" si="13"/>
        <v>0</v>
      </c>
      <c r="O114" s="11"/>
      <c r="P114" s="2">
        <v>0</v>
      </c>
      <c r="Q114" s="2"/>
      <c r="R114" s="19">
        <f t="shared" si="14"/>
        <v>0</v>
      </c>
      <c r="S114" s="2"/>
      <c r="T114" s="2"/>
      <c r="U114" s="2"/>
      <c r="V114" s="19">
        <f t="shared" si="15"/>
        <v>0</v>
      </c>
      <c r="W114" s="2"/>
      <c r="X114" s="2">
        <f t="shared" si="16"/>
        <v>0</v>
      </c>
      <c r="Y114" s="2"/>
      <c r="Z114" s="19">
        <f t="shared" si="17"/>
        <v>0</v>
      </c>
    </row>
    <row r="115" spans="1:26" s="24" customFormat="1" hidden="1" outlineLevel="1" x14ac:dyDescent="0.25">
      <c r="A115" s="44"/>
      <c r="B115" s="11" t="str">
        <f>CONCATENATE("          ", "5527", " - ", "FREIGHT-IN-SCHOOL SUPPLIES")</f>
        <v xml:space="preserve">          5527 - FREIGHT-IN-SCHOOL SUPPLIES</v>
      </c>
      <c r="C115" s="11"/>
      <c r="D115" s="2">
        <v>41.12</v>
      </c>
      <c r="E115" s="2"/>
      <c r="F115" s="19">
        <f t="shared" si="10"/>
        <v>2.2348406659694739E-4</v>
      </c>
      <c r="G115" s="2"/>
      <c r="H115" s="2"/>
      <c r="I115" s="2"/>
      <c r="J115" s="19">
        <f t="shared" si="11"/>
        <v>0</v>
      </c>
      <c r="K115" s="2"/>
      <c r="L115" s="2">
        <f t="shared" si="12"/>
        <v>41.12</v>
      </c>
      <c r="M115" s="2"/>
      <c r="N115" s="19">
        <f t="shared" si="13"/>
        <v>0</v>
      </c>
      <c r="O115" s="11"/>
      <c r="P115" s="2">
        <v>218.62</v>
      </c>
      <c r="Q115" s="2"/>
      <c r="R115" s="19">
        <f t="shared" si="14"/>
        <v>5.1235129043050029E-5</v>
      </c>
      <c r="S115" s="2"/>
      <c r="T115" s="2"/>
      <c r="U115" s="2"/>
      <c r="V115" s="19">
        <f t="shared" si="15"/>
        <v>0</v>
      </c>
      <c r="W115" s="2"/>
      <c r="X115" s="2">
        <f t="shared" si="16"/>
        <v>218.62</v>
      </c>
      <c r="Y115" s="2"/>
      <c r="Z115" s="19">
        <f t="shared" si="17"/>
        <v>0</v>
      </c>
    </row>
    <row r="116" spans="1:26" s="24" customFormat="1" hidden="1" outlineLevel="1" x14ac:dyDescent="0.25">
      <c r="A116" s="44"/>
      <c r="B116" s="11" t="str">
        <f>CONCATENATE("          ", "5528", " - ", "FREIGHT-IN-ART/TECH")</f>
        <v xml:space="preserve">          5528 - FREIGHT-IN-ART/TECH</v>
      </c>
      <c r="C116" s="11"/>
      <c r="D116" s="2">
        <v>103.71</v>
      </c>
      <c r="E116" s="2"/>
      <c r="F116" s="19">
        <f t="shared" si="10"/>
        <v>5.6365594714906158E-4</v>
      </c>
      <c r="G116" s="2"/>
      <c r="H116" s="2"/>
      <c r="I116" s="2"/>
      <c r="J116" s="19">
        <f t="shared" si="11"/>
        <v>0</v>
      </c>
      <c r="K116" s="2"/>
      <c r="L116" s="2">
        <f t="shared" si="12"/>
        <v>103.71</v>
      </c>
      <c r="M116" s="2"/>
      <c r="N116" s="19">
        <f t="shared" si="13"/>
        <v>0</v>
      </c>
      <c r="O116" s="11"/>
      <c r="P116" s="2">
        <v>455.21</v>
      </c>
      <c r="Q116" s="2"/>
      <c r="R116" s="19">
        <f t="shared" si="14"/>
        <v>1.0668165351608637E-4</v>
      </c>
      <c r="S116" s="2"/>
      <c r="T116" s="2"/>
      <c r="U116" s="2"/>
      <c r="V116" s="19">
        <f t="shared" si="15"/>
        <v>0</v>
      </c>
      <c r="W116" s="2"/>
      <c r="X116" s="2">
        <f t="shared" si="16"/>
        <v>455.21</v>
      </c>
      <c r="Y116" s="2"/>
      <c r="Z116" s="19">
        <f t="shared" si="17"/>
        <v>0</v>
      </c>
    </row>
    <row r="117" spans="1:26" s="24" customFormat="1" hidden="1" outlineLevel="1" x14ac:dyDescent="0.25">
      <c r="A117" s="44"/>
      <c r="B117" s="11" t="str">
        <f>CONCATENATE("          ", "5540", " - ", "FREIGHT-IN-LOGO CLOTHING")</f>
        <v xml:space="preserve">          5540 - FREIGHT-IN-LOGO CLOTHING</v>
      </c>
      <c r="C117" s="11"/>
      <c r="D117" s="2">
        <v>1167.1400000000001</v>
      </c>
      <c r="E117" s="2"/>
      <c r="F117" s="19">
        <f t="shared" si="10"/>
        <v>6.343316962255866E-3</v>
      </c>
      <c r="G117" s="2"/>
      <c r="H117" s="2"/>
      <c r="I117" s="2"/>
      <c r="J117" s="19">
        <f t="shared" si="11"/>
        <v>0</v>
      </c>
      <c r="K117" s="2"/>
      <c r="L117" s="2">
        <f t="shared" si="12"/>
        <v>1167.1400000000001</v>
      </c>
      <c r="M117" s="2"/>
      <c r="N117" s="19">
        <f t="shared" si="13"/>
        <v>0</v>
      </c>
      <c r="O117" s="11"/>
      <c r="P117" s="2">
        <v>7108.37</v>
      </c>
      <c r="Q117" s="2"/>
      <c r="R117" s="19">
        <f t="shared" si="14"/>
        <v>1.6658963234642097E-3</v>
      </c>
      <c r="S117" s="2"/>
      <c r="T117" s="2"/>
      <c r="U117" s="2"/>
      <c r="V117" s="19">
        <f t="shared" si="15"/>
        <v>0</v>
      </c>
      <c r="W117" s="2"/>
      <c r="X117" s="2">
        <f t="shared" si="16"/>
        <v>7108.37</v>
      </c>
      <c r="Y117" s="2"/>
      <c r="Z117" s="19">
        <f t="shared" si="17"/>
        <v>0</v>
      </c>
    </row>
    <row r="118" spans="1:26" s="24" customFormat="1" hidden="1" outlineLevel="1" x14ac:dyDescent="0.25">
      <c r="A118" s="44"/>
      <c r="B118" s="11" t="str">
        <f>CONCATENATE("          ", "5541", " - ", "FREIGHT-IN-LOGO GIFTS")</f>
        <v xml:space="preserve">          5541 - FREIGHT-IN-LOGO GIFTS</v>
      </c>
      <c r="C118" s="11"/>
      <c r="D118" s="2">
        <v>60.07</v>
      </c>
      <c r="E118" s="2"/>
      <c r="F118" s="19">
        <f t="shared" si="10"/>
        <v>3.2647587257973319E-4</v>
      </c>
      <c r="G118" s="2"/>
      <c r="H118" s="2"/>
      <c r="I118" s="2"/>
      <c r="J118" s="19">
        <f t="shared" si="11"/>
        <v>0</v>
      </c>
      <c r="K118" s="2"/>
      <c r="L118" s="2">
        <f t="shared" si="12"/>
        <v>60.07</v>
      </c>
      <c r="M118" s="2"/>
      <c r="N118" s="19">
        <f t="shared" si="13"/>
        <v>0</v>
      </c>
      <c r="O118" s="11"/>
      <c r="P118" s="2">
        <v>2138</v>
      </c>
      <c r="Q118" s="2"/>
      <c r="R118" s="19">
        <f t="shared" si="14"/>
        <v>5.0105528265502225E-4</v>
      </c>
      <c r="S118" s="2"/>
      <c r="T118" s="2"/>
      <c r="U118" s="2"/>
      <c r="V118" s="19">
        <f t="shared" si="15"/>
        <v>0</v>
      </c>
      <c r="W118" s="2"/>
      <c r="X118" s="2">
        <f t="shared" si="16"/>
        <v>2138</v>
      </c>
      <c r="Y118" s="2"/>
      <c r="Z118" s="19">
        <f t="shared" si="17"/>
        <v>0</v>
      </c>
    </row>
    <row r="119" spans="1:26" s="24" customFormat="1" hidden="1" outlineLevel="1" x14ac:dyDescent="0.25">
      <c r="A119" s="44"/>
      <c r="B119" s="11" t="str">
        <f>CONCATENATE("          ", "5542", " - ", "FREIGHT-IN-EVERYDAY GIFTS")</f>
        <v xml:space="preserve">          5542 - FREIGHT-IN-EVERYDAY GIFTS</v>
      </c>
      <c r="C119" s="11"/>
      <c r="D119" s="2">
        <v>297.79000000000002</v>
      </c>
      <c r="E119" s="2"/>
      <c r="F119" s="19">
        <f t="shared" si="10"/>
        <v>1.6184659579743426E-3</v>
      </c>
      <c r="G119" s="2"/>
      <c r="H119" s="2"/>
      <c r="I119" s="2"/>
      <c r="J119" s="19">
        <f t="shared" si="11"/>
        <v>0</v>
      </c>
      <c r="K119" s="2"/>
      <c r="L119" s="2">
        <f t="shared" si="12"/>
        <v>297.79000000000002</v>
      </c>
      <c r="M119" s="2"/>
      <c r="N119" s="19">
        <f t="shared" si="13"/>
        <v>0</v>
      </c>
      <c r="O119" s="11"/>
      <c r="P119" s="2">
        <v>681.72</v>
      </c>
      <c r="Q119" s="2"/>
      <c r="R119" s="19">
        <f t="shared" si="14"/>
        <v>1.5976585935059952E-4</v>
      </c>
      <c r="S119" s="2"/>
      <c r="T119" s="2"/>
      <c r="U119" s="2"/>
      <c r="V119" s="19">
        <f t="shared" si="15"/>
        <v>0</v>
      </c>
      <c r="W119" s="2"/>
      <c r="X119" s="2">
        <f t="shared" si="16"/>
        <v>681.72</v>
      </c>
      <c r="Y119" s="2"/>
      <c r="Z119" s="19">
        <f t="shared" si="17"/>
        <v>0</v>
      </c>
    </row>
    <row r="120" spans="1:26" s="24" customFormat="1" hidden="1" outlineLevel="1" x14ac:dyDescent="0.25">
      <c r="A120" s="44"/>
      <c r="B120" s="11" t="str">
        <f>CONCATENATE("          ", "5543", " - ", "FREIGHT-IN-CARDS")</f>
        <v xml:space="preserve">          5543 - FREIGHT-IN-CARDS</v>
      </c>
      <c r="C120" s="11"/>
      <c r="D120" s="2"/>
      <c r="E120" s="2"/>
      <c r="F120" s="19">
        <f t="shared" si="10"/>
        <v>0</v>
      </c>
      <c r="G120" s="2"/>
      <c r="H120" s="2"/>
      <c r="I120" s="2"/>
      <c r="J120" s="19">
        <f t="shared" si="11"/>
        <v>0</v>
      </c>
      <c r="K120" s="2"/>
      <c r="L120" s="2">
        <f t="shared" si="12"/>
        <v>0</v>
      </c>
      <c r="M120" s="2"/>
      <c r="N120" s="19">
        <f t="shared" si="13"/>
        <v>0</v>
      </c>
      <c r="O120" s="11"/>
      <c r="P120" s="2">
        <v>9110.5300000000007</v>
      </c>
      <c r="Q120" s="2"/>
      <c r="R120" s="19">
        <f t="shared" si="14"/>
        <v>2.1351165501810382E-3</v>
      </c>
      <c r="S120" s="2"/>
      <c r="T120" s="2"/>
      <c r="U120" s="2"/>
      <c r="V120" s="19">
        <f t="shared" si="15"/>
        <v>0</v>
      </c>
      <c r="W120" s="2"/>
      <c r="X120" s="2">
        <f t="shared" si="16"/>
        <v>9110.5300000000007</v>
      </c>
      <c r="Y120" s="2"/>
      <c r="Z120" s="19">
        <f t="shared" si="17"/>
        <v>0</v>
      </c>
    </row>
    <row r="121" spans="1:26" s="24" customFormat="1" hidden="1" outlineLevel="1" x14ac:dyDescent="0.25">
      <c r="A121" s="44"/>
      <c r="B121" s="11" t="str">
        <f>CONCATENATE("          ", "5545", " - ", "FREIGHT-IN-SPECIAL ORDERS")</f>
        <v xml:space="preserve">          5545 - FREIGHT-IN-SPECIAL ORDERS</v>
      </c>
      <c r="C121" s="11"/>
      <c r="D121" s="2">
        <v>17.63</v>
      </c>
      <c r="E121" s="2"/>
      <c r="F121" s="19">
        <f t="shared" si="10"/>
        <v>9.5817706568681474E-5</v>
      </c>
      <c r="G121" s="2"/>
      <c r="H121" s="2"/>
      <c r="I121" s="2"/>
      <c r="J121" s="19">
        <f t="shared" si="11"/>
        <v>0</v>
      </c>
      <c r="K121" s="2"/>
      <c r="L121" s="2">
        <f t="shared" si="12"/>
        <v>17.63</v>
      </c>
      <c r="M121" s="2"/>
      <c r="N121" s="19">
        <f t="shared" si="13"/>
        <v>0</v>
      </c>
      <c r="O121" s="11"/>
      <c r="P121" s="2">
        <v>1266.1600000000001</v>
      </c>
      <c r="Q121" s="2"/>
      <c r="R121" s="19">
        <f t="shared" si="14"/>
        <v>2.9673346898338775E-4</v>
      </c>
      <c r="S121" s="2"/>
      <c r="T121" s="2"/>
      <c r="U121" s="2"/>
      <c r="V121" s="19">
        <f t="shared" si="15"/>
        <v>0</v>
      </c>
      <c r="W121" s="2"/>
      <c r="X121" s="2">
        <f t="shared" si="16"/>
        <v>1266.1600000000001</v>
      </c>
      <c r="Y121" s="2"/>
      <c r="Z121" s="19">
        <f t="shared" si="17"/>
        <v>0</v>
      </c>
    </row>
    <row r="122" spans="1:26" s="24" customFormat="1" hidden="1" outlineLevel="1" x14ac:dyDescent="0.25">
      <c r="A122" s="44"/>
      <c r="B122" s="11" t="str">
        <f>CONCATENATE("          ", "5592", " - ", "FREIGHT-IN-GRAD MERCH")</f>
        <v xml:space="preserve">          5592 - FREIGHT-IN-GRAD MERCH</v>
      </c>
      <c r="C122" s="11"/>
      <c r="D122" s="2"/>
      <c r="E122" s="2"/>
      <c r="F122" s="19">
        <f t="shared" si="10"/>
        <v>0</v>
      </c>
      <c r="G122" s="2"/>
      <c r="H122" s="2"/>
      <c r="I122" s="2"/>
      <c r="J122" s="19">
        <f t="shared" si="11"/>
        <v>0</v>
      </c>
      <c r="K122" s="2"/>
      <c r="L122" s="2">
        <f t="shared" si="12"/>
        <v>0</v>
      </c>
      <c r="M122" s="2"/>
      <c r="N122" s="19">
        <f t="shared" si="13"/>
        <v>0</v>
      </c>
      <c r="O122" s="11"/>
      <c r="P122" s="2">
        <v>0</v>
      </c>
      <c r="Q122" s="2"/>
      <c r="R122" s="19">
        <f t="shared" si="14"/>
        <v>0</v>
      </c>
      <c r="S122" s="2"/>
      <c r="T122" s="2"/>
      <c r="U122" s="2"/>
      <c r="V122" s="19">
        <f t="shared" si="15"/>
        <v>0</v>
      </c>
      <c r="W122" s="2"/>
      <c r="X122" s="2">
        <f t="shared" si="16"/>
        <v>0</v>
      </c>
      <c r="Y122" s="2"/>
      <c r="Z122" s="19">
        <f t="shared" si="17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9" t="s">
        <v>108</v>
      </c>
      <c r="C124" s="29"/>
      <c r="D124" s="20">
        <f>D12-D81</f>
        <v>85350.970000000016</v>
      </c>
      <c r="E124" s="14"/>
      <c r="F124" s="21">
        <f>IF(D$12=0,0,D124/D$12)</f>
        <v>0.4638760180835132</v>
      </c>
      <c r="G124" s="14"/>
      <c r="H124" s="20">
        <f>H12-H81</f>
        <v>280721</v>
      </c>
      <c r="I124" s="14"/>
      <c r="J124" s="21">
        <f>IF(H$12=0,0,H124/H$12)</f>
        <v>0.5454822794673444</v>
      </c>
      <c r="K124" s="16"/>
      <c r="L124" s="20">
        <f>+D124-H124</f>
        <v>-195370.02999999997</v>
      </c>
      <c r="M124" s="16"/>
      <c r="N124" s="21">
        <f>IF(H124=0,0,L124/H124)</f>
        <v>-0.69595801525357903</v>
      </c>
      <c r="O124" s="28"/>
      <c r="P124" s="20">
        <f>P12-P81</f>
        <v>1517799.1100000017</v>
      </c>
      <c r="Q124" s="14"/>
      <c r="R124" s="21">
        <f>IF(P$12=0,0,P124/P$12)</f>
        <v>0.35570685784592704</v>
      </c>
      <c r="S124" s="14"/>
      <c r="T124" s="20">
        <f>T12-T81</f>
        <v>3385574</v>
      </c>
      <c r="U124" s="14"/>
      <c r="V124" s="21">
        <f>IF(T$12=0,0,T124/T$12)</f>
        <v>0.41389715354276851</v>
      </c>
      <c r="W124" s="16"/>
      <c r="X124" s="20">
        <f>+P124-T124</f>
        <v>-1867774.8899999983</v>
      </c>
      <c r="Y124" s="16"/>
      <c r="Z124" s="21">
        <f>IF(T124=0,0,X124/T124)</f>
        <v>-0.55168632852213484</v>
      </c>
    </row>
    <row r="125" spans="1:26" x14ac:dyDescent="0.25">
      <c r="A125" s="9"/>
      <c r="B125" s="10"/>
      <c r="C125" s="9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6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x14ac:dyDescent="0.25">
      <c r="A126" s="10"/>
      <c r="B126" s="28" t="s">
        <v>295</v>
      </c>
      <c r="C126" s="10"/>
      <c r="D126" s="22">
        <f>SUM(OSRRefD22x_0)</f>
        <v>240619.24999999991</v>
      </c>
      <c r="E126" s="22"/>
      <c r="F126" s="32">
        <f t="shared" ref="F126:F137" si="18">IF(D$12=0,0,D126/D$12)</f>
        <v>1.3077472882175951</v>
      </c>
      <c r="G126" s="22"/>
      <c r="H126" s="22">
        <f>SUM(OSRRefH22x_0)</f>
        <v>384836.21772612847</v>
      </c>
      <c r="I126" s="22"/>
      <c r="J126" s="32">
        <f t="shared" ref="J126:J137" si="19">IF(H$12=0,0,H126/H$12)</f>
        <v>0.74779349342172408</v>
      </c>
      <c r="K126" s="4"/>
      <c r="L126" s="22">
        <f t="shared" ref="L126:L137" si="20">+D126-H126</f>
        <v>-144216.96772612855</v>
      </c>
      <c r="M126" s="4"/>
      <c r="N126" s="32">
        <f t="shared" ref="N126:N137" si="21">IF(H126=0,0,L126/H126)</f>
        <v>-0.3747489479505321</v>
      </c>
      <c r="O126" s="10"/>
      <c r="P126" s="22">
        <f>SUM(OSRRefP22x_0)</f>
        <v>2600285.9400000009</v>
      </c>
      <c r="Q126" s="22"/>
      <c r="R126" s="32">
        <f t="shared" ref="R126:R137" si="22">IF(P$12=0,0,P126/P$12)</f>
        <v>0.60939523229681036</v>
      </c>
      <c r="S126" s="22"/>
      <c r="T126" s="22">
        <f>SUM(OSRRefT22x_0)</f>
        <v>3853142.3260961799</v>
      </c>
      <c r="U126" s="22"/>
      <c r="V126" s="32">
        <f t="shared" ref="V126:V137" si="23">IF(T$12=0,0,T126/T$12)</f>
        <v>0.47105886356829618</v>
      </c>
      <c r="W126" s="4"/>
      <c r="X126" s="22">
        <f t="shared" ref="X126:X137" si="24">+P126-T126</f>
        <v>-1252856.386096179</v>
      </c>
      <c r="Y126" s="4"/>
      <c r="Z126" s="32">
        <f t="shared" ref="Z126:Z137" si="25">IF(T126=0,0,X126/T126)</f>
        <v>-0.32515185790334233</v>
      </c>
    </row>
    <row r="127" spans="1:26" s="25" customFormat="1" outlineLevel="1" collapsed="1" x14ac:dyDescent="0.25">
      <c r="A127" s="27"/>
      <c r="B127" s="13" t="str">
        <f>CONCATENATE("     ","*Benefits                                         ")</f>
        <v xml:space="preserve">     *Benefits                                         </v>
      </c>
      <c r="C127" s="13"/>
      <c r="D127" s="1">
        <f>SUM(OSRRefD22_0x_0)</f>
        <v>45623.819999999992</v>
      </c>
      <c r="E127" s="1"/>
      <c r="F127" s="5">
        <f t="shared" si="18"/>
        <v>0.2479619850993954</v>
      </c>
      <c r="G127" s="1"/>
      <c r="H127" s="1">
        <f>SUM(OSRRefH22_0x_0)</f>
        <v>49324.590782436149</v>
      </c>
      <c r="I127" s="1"/>
      <c r="J127" s="5">
        <f t="shared" si="19"/>
        <v>9.5844950017267103E-2</v>
      </c>
      <c r="K127" s="1"/>
      <c r="L127" s="1">
        <f t="shared" si="20"/>
        <v>-3700.7707824361569</v>
      </c>
      <c r="M127" s="1"/>
      <c r="N127" s="5">
        <f t="shared" si="21"/>
        <v>-7.5028920133564561E-2</v>
      </c>
      <c r="O127" s="13"/>
      <c r="P127" s="1">
        <f>SUM(OSRRefP22_0x_0)</f>
        <v>445278.77</v>
      </c>
      <c r="Q127" s="1"/>
      <c r="R127" s="5">
        <f t="shared" si="22"/>
        <v>0.10435420016961208</v>
      </c>
      <c r="S127" s="1"/>
      <c r="T127" s="1">
        <f>SUM(OSRRefT22_0x_0)</f>
        <v>475706.71832017996</v>
      </c>
      <c r="U127" s="1"/>
      <c r="V127" s="5">
        <f t="shared" si="23"/>
        <v>5.8156654273069812E-2</v>
      </c>
      <c r="W127" s="1"/>
      <c r="X127" s="1">
        <f t="shared" si="24"/>
        <v>-30427.948320179945</v>
      </c>
      <c r="Y127" s="1"/>
      <c r="Z127" s="5">
        <f t="shared" si="25"/>
        <v>-6.3963671624456764E-2</v>
      </c>
    </row>
    <row r="128" spans="1:26" s="24" customFormat="1" hidden="1" outlineLevel="2" x14ac:dyDescent="0.25">
      <c r="A128" s="26"/>
      <c r="B128" s="11" t="str">
        <f>CONCATENATE("          ", "6111", " - ", "F.I.C.A.")</f>
        <v xml:space="preserve">          6111 - F.I.C.A.</v>
      </c>
      <c r="C128" s="11"/>
      <c r="D128" s="7">
        <v>7478.02</v>
      </c>
      <c r="E128" s="2"/>
      <c r="F128" s="6">
        <f t="shared" si="18"/>
        <v>4.0642468864136784E-2</v>
      </c>
      <c r="G128" s="2"/>
      <c r="H128" s="7">
        <v>7614.7616913092297</v>
      </c>
      <c r="I128" s="2"/>
      <c r="J128" s="6">
        <f t="shared" si="19"/>
        <v>1.4796604333042307E-2</v>
      </c>
      <c r="K128" s="2"/>
      <c r="L128" s="7">
        <f t="shared" si="20"/>
        <v>-136.74169130922928</v>
      </c>
      <c r="M128" s="2"/>
      <c r="N128" s="6">
        <f t="shared" si="21"/>
        <v>-1.7957448552236813E-2</v>
      </c>
      <c r="O128" s="11"/>
      <c r="P128" s="7">
        <v>82377.539999999994</v>
      </c>
      <c r="Q128" s="2"/>
      <c r="R128" s="6">
        <f t="shared" si="22"/>
        <v>1.930575378350112E-2</v>
      </c>
      <c r="S128" s="2"/>
      <c r="T128" s="7">
        <v>83729.804531204994</v>
      </c>
      <c r="U128" s="2"/>
      <c r="V128" s="6">
        <f t="shared" si="23"/>
        <v>1.0236234021810821E-2</v>
      </c>
      <c r="W128" s="2"/>
      <c r="X128" s="7">
        <f t="shared" si="24"/>
        <v>-1352.2645312050008</v>
      </c>
      <c r="Y128" s="2"/>
      <c r="Z128" s="6">
        <f t="shared" si="25"/>
        <v>-1.6150336654626129E-2</v>
      </c>
    </row>
    <row r="129" spans="1:26" s="24" customFormat="1" hidden="1" outlineLevel="2" x14ac:dyDescent="0.25">
      <c r="A129" s="26"/>
      <c r="B129" s="11" t="str">
        <f>CONCATENATE("          ", "6112", " - ", "COMPENSATION INSURANCE")</f>
        <v xml:space="preserve">          6112 - COMPENSATION INSURANCE</v>
      </c>
      <c r="C129" s="11"/>
      <c r="D129" s="7">
        <v>1716.92</v>
      </c>
      <c r="E129" s="2"/>
      <c r="F129" s="6">
        <f t="shared" si="18"/>
        <v>9.331329368230324E-3</v>
      </c>
      <c r="G129" s="2"/>
      <c r="H129" s="7">
        <v>3358.2773659807699</v>
      </c>
      <c r="I129" s="2"/>
      <c r="J129" s="6">
        <f t="shared" si="19"/>
        <v>6.5256279105545354E-3</v>
      </c>
      <c r="K129" s="2"/>
      <c r="L129" s="7">
        <f t="shared" si="20"/>
        <v>-1641.3573659807698</v>
      </c>
      <c r="M129" s="2"/>
      <c r="N129" s="6">
        <f t="shared" si="21"/>
        <v>-0.48874979255962042</v>
      </c>
      <c r="O129" s="11"/>
      <c r="P129" s="7">
        <v>20809.47</v>
      </c>
      <c r="Q129" s="2"/>
      <c r="R129" s="6">
        <f t="shared" si="22"/>
        <v>4.8768451228957928E-3</v>
      </c>
      <c r="S129" s="2"/>
      <c r="T129" s="7">
        <v>33363.851681624998</v>
      </c>
      <c r="U129" s="2"/>
      <c r="V129" s="6">
        <f t="shared" si="23"/>
        <v>4.0788366292533254E-3</v>
      </c>
      <c r="W129" s="2"/>
      <c r="X129" s="7">
        <f t="shared" si="24"/>
        <v>-12554.381681624996</v>
      </c>
      <c r="Y129" s="2"/>
      <c r="Z129" s="6">
        <f t="shared" si="25"/>
        <v>-0.37628694077126801</v>
      </c>
    </row>
    <row r="130" spans="1:26" s="24" customFormat="1" hidden="1" outlineLevel="2" x14ac:dyDescent="0.25">
      <c r="A130" s="26"/>
      <c r="B130" s="11" t="str">
        <f>CONCATENATE("          ", "6113", " - ", "GROUP INSURANCE")</f>
        <v xml:space="preserve">          6113 - GROUP INSURANCE</v>
      </c>
      <c r="C130" s="11"/>
      <c r="D130" s="7">
        <v>18280.3</v>
      </c>
      <c r="E130" s="2"/>
      <c r="F130" s="6">
        <f t="shared" si="18"/>
        <v>9.9352037514887581E-2</v>
      </c>
      <c r="G130" s="2"/>
      <c r="H130" s="7">
        <v>21247.5</v>
      </c>
      <c r="I130" s="2"/>
      <c r="J130" s="6">
        <f t="shared" si="19"/>
        <v>4.1287024244650028E-2</v>
      </c>
      <c r="K130" s="2"/>
      <c r="L130" s="7">
        <f t="shared" si="20"/>
        <v>-2967.2000000000007</v>
      </c>
      <c r="M130" s="2"/>
      <c r="N130" s="6">
        <f t="shared" si="21"/>
        <v>-0.13964937051417817</v>
      </c>
      <c r="O130" s="11"/>
      <c r="P130" s="7">
        <v>164653.81</v>
      </c>
      <c r="Q130" s="2"/>
      <c r="R130" s="6">
        <f t="shared" si="22"/>
        <v>3.8587774232823349E-2</v>
      </c>
      <c r="S130" s="2"/>
      <c r="T130" s="7">
        <v>193567.5</v>
      </c>
      <c r="U130" s="2"/>
      <c r="V130" s="6">
        <f t="shared" si="23"/>
        <v>2.3664240471007233E-2</v>
      </c>
      <c r="W130" s="2"/>
      <c r="X130" s="7">
        <f t="shared" si="24"/>
        <v>-28913.690000000002</v>
      </c>
      <c r="Y130" s="2"/>
      <c r="Z130" s="6">
        <f t="shared" si="25"/>
        <v>-0.14937264778436463</v>
      </c>
    </row>
    <row r="131" spans="1:26" s="24" customFormat="1" hidden="1" outlineLevel="2" x14ac:dyDescent="0.25">
      <c r="A131" s="26"/>
      <c r="B131" s="11" t="str">
        <f>CONCATENATE("          ", "6114", " - ", "STATE UNEMPLOYMENT INSURANCE")</f>
        <v xml:space="preserve">          6114 - STATE UNEMPLOYMENT INSURANCE</v>
      </c>
      <c r="C131" s="11"/>
      <c r="D131" s="7">
        <v>305.79000000000002</v>
      </c>
      <c r="E131" s="2"/>
      <c r="F131" s="6">
        <f t="shared" si="18"/>
        <v>1.6619453483628537E-3</v>
      </c>
      <c r="G131" s="2"/>
      <c r="H131" s="7">
        <v>476.64662829999997</v>
      </c>
      <c r="I131" s="2"/>
      <c r="J131" s="6">
        <f t="shared" si="19"/>
        <v>9.2619465342994652E-4</v>
      </c>
      <c r="K131" s="2"/>
      <c r="L131" s="7">
        <f t="shared" si="20"/>
        <v>-170.85662829999995</v>
      </c>
      <c r="M131" s="2"/>
      <c r="N131" s="6">
        <f t="shared" si="21"/>
        <v>-0.35845554789587919</v>
      </c>
      <c r="O131" s="11"/>
      <c r="P131" s="7">
        <v>3368.49</v>
      </c>
      <c r="Q131" s="2"/>
      <c r="R131" s="6">
        <f t="shared" si="22"/>
        <v>7.894292371705405E-4</v>
      </c>
      <c r="S131" s="2"/>
      <c r="T131" s="7">
        <v>4724.9193738499998</v>
      </c>
      <c r="U131" s="2"/>
      <c r="V131" s="6">
        <f t="shared" si="23"/>
        <v>5.7763637113103863E-4</v>
      </c>
      <c r="W131" s="2"/>
      <c r="X131" s="7">
        <f t="shared" si="24"/>
        <v>-1356.42937385</v>
      </c>
      <c r="Y131" s="2"/>
      <c r="Z131" s="6">
        <f t="shared" si="25"/>
        <v>-0.28707989841205322</v>
      </c>
    </row>
    <row r="132" spans="1:26" s="24" customFormat="1" hidden="1" outlineLevel="2" x14ac:dyDescent="0.25">
      <c r="A132" s="26"/>
      <c r="B132" s="11" t="str">
        <f>CONCATENATE("          ", "6115", " - ", "P.E.R.S.")</f>
        <v xml:space="preserve">          6115 - P.E.R.S.</v>
      </c>
      <c r="C132" s="11"/>
      <c r="D132" s="7">
        <v>6355.43</v>
      </c>
      <c r="E132" s="2"/>
      <c r="F132" s="6">
        <f t="shared" si="18"/>
        <v>3.4541277757106942E-2</v>
      </c>
      <c r="G132" s="2"/>
      <c r="H132" s="7">
        <v>5604.8280141538498</v>
      </c>
      <c r="I132" s="2"/>
      <c r="J132" s="6">
        <f t="shared" si="19"/>
        <v>1.0891006947050886E-2</v>
      </c>
      <c r="K132" s="2"/>
      <c r="L132" s="7">
        <f t="shared" si="20"/>
        <v>750.60198584615046</v>
      </c>
      <c r="M132" s="2"/>
      <c r="N132" s="6">
        <f t="shared" si="21"/>
        <v>0.13392060986539789</v>
      </c>
      <c r="O132" s="11"/>
      <c r="P132" s="7">
        <v>67697.63</v>
      </c>
      <c r="Q132" s="2"/>
      <c r="R132" s="6">
        <f t="shared" si="22"/>
        <v>1.586541400127461E-2</v>
      </c>
      <c r="S132" s="2"/>
      <c r="T132" s="7">
        <v>54155.437195999999</v>
      </c>
      <c r="U132" s="2"/>
      <c r="V132" s="6">
        <f t="shared" si="23"/>
        <v>6.6206738663188479E-3</v>
      </c>
      <c r="W132" s="2"/>
      <c r="X132" s="7">
        <f t="shared" si="24"/>
        <v>13542.192804000006</v>
      </c>
      <c r="Y132" s="2"/>
      <c r="Z132" s="6">
        <f t="shared" si="25"/>
        <v>0.25006155439181371</v>
      </c>
    </row>
    <row r="133" spans="1:26" s="24" customFormat="1" hidden="1" outlineLevel="2" x14ac:dyDescent="0.25">
      <c r="A133" s="26"/>
      <c r="B133" s="11" t="str">
        <f>CONCATENATE("          ", "6116", " - ", "EDUCATIONAL BENEFITS")</f>
        <v xml:space="preserve">          6116 - EDUCATIONAL BENEFITS</v>
      </c>
      <c r="C133" s="11"/>
      <c r="D133" s="7"/>
      <c r="E133" s="2"/>
      <c r="F133" s="6">
        <f t="shared" si="18"/>
        <v>0</v>
      </c>
      <c r="G133" s="2"/>
      <c r="H133" s="7">
        <v>0</v>
      </c>
      <c r="I133" s="2"/>
      <c r="J133" s="6">
        <f t="shared" si="19"/>
        <v>0</v>
      </c>
      <c r="K133" s="2"/>
      <c r="L133" s="7">
        <f t="shared" si="20"/>
        <v>0</v>
      </c>
      <c r="M133" s="2"/>
      <c r="N133" s="6">
        <f t="shared" si="21"/>
        <v>0</v>
      </c>
      <c r="O133" s="11"/>
      <c r="P133" s="7">
        <v>0</v>
      </c>
      <c r="Q133" s="2"/>
      <c r="R133" s="6">
        <f t="shared" si="22"/>
        <v>0</v>
      </c>
      <c r="S133" s="2"/>
      <c r="T133" s="7">
        <v>0</v>
      </c>
      <c r="U133" s="2"/>
      <c r="V133" s="6">
        <f t="shared" si="23"/>
        <v>0</v>
      </c>
      <c r="W133" s="2"/>
      <c r="X133" s="7">
        <f t="shared" si="24"/>
        <v>0</v>
      </c>
      <c r="Y133" s="2"/>
      <c r="Z133" s="6">
        <f t="shared" si="25"/>
        <v>0</v>
      </c>
    </row>
    <row r="134" spans="1:26" s="24" customFormat="1" hidden="1" outlineLevel="2" x14ac:dyDescent="0.25">
      <c r="A134" s="26"/>
      <c r="B134" s="11" t="str">
        <f>CONCATENATE("          ", "6117", " - ", "RETIREMENT STAFF HOURLY")</f>
        <v xml:space="preserve">          6117 - RETIREMENT STAFF HOURLY</v>
      </c>
      <c r="C134" s="11"/>
      <c r="D134" s="7">
        <v>650.84</v>
      </c>
      <c r="E134" s="2"/>
      <c r="F134" s="6">
        <f t="shared" si="18"/>
        <v>3.5372658050573259E-3</v>
      </c>
      <c r="G134" s="2"/>
      <c r="H134" s="7"/>
      <c r="I134" s="2"/>
      <c r="J134" s="6">
        <f t="shared" si="19"/>
        <v>0</v>
      </c>
      <c r="K134" s="2"/>
      <c r="L134" s="7">
        <f t="shared" si="20"/>
        <v>650.84</v>
      </c>
      <c r="M134" s="2"/>
      <c r="N134" s="6">
        <f t="shared" si="21"/>
        <v>0</v>
      </c>
      <c r="O134" s="11"/>
      <c r="P134" s="7">
        <v>3401.26</v>
      </c>
      <c r="Q134" s="2"/>
      <c r="R134" s="6">
        <f t="shared" si="22"/>
        <v>7.9710911631581901E-4</v>
      </c>
      <c r="S134" s="2"/>
      <c r="T134" s="7"/>
      <c r="U134" s="2"/>
      <c r="V134" s="6">
        <f t="shared" si="23"/>
        <v>0</v>
      </c>
      <c r="W134" s="2"/>
      <c r="X134" s="7">
        <f t="shared" si="24"/>
        <v>3401.26</v>
      </c>
      <c r="Y134" s="2"/>
      <c r="Z134" s="6">
        <f t="shared" si="25"/>
        <v>0</v>
      </c>
    </row>
    <row r="135" spans="1:26" s="24" customFormat="1" hidden="1" outlineLevel="2" x14ac:dyDescent="0.25">
      <c r="A135" s="26"/>
      <c r="B135" s="11" t="str">
        <f>CONCATENATE("          ", "6118", " - ", "VACATION")</f>
        <v xml:space="preserve">          6118 - VACATION</v>
      </c>
      <c r="C135" s="11"/>
      <c r="D135" s="7">
        <v>5455.57</v>
      </c>
      <c r="E135" s="2"/>
      <c r="F135" s="6">
        <f t="shared" si="18"/>
        <v>2.9650607227731232E-2</v>
      </c>
      <c r="G135" s="2"/>
      <c r="H135" s="7">
        <v>4370.4580123076903</v>
      </c>
      <c r="I135" s="2"/>
      <c r="J135" s="6">
        <f t="shared" si="19"/>
        <v>8.4924440952758012E-3</v>
      </c>
      <c r="K135" s="2"/>
      <c r="L135" s="7">
        <f t="shared" si="20"/>
        <v>1085.1119876923094</v>
      </c>
      <c r="M135" s="2"/>
      <c r="N135" s="6">
        <f t="shared" si="21"/>
        <v>0.24828335717595609</v>
      </c>
      <c r="O135" s="11"/>
      <c r="P135" s="7">
        <v>52332.04</v>
      </c>
      <c r="Q135" s="2"/>
      <c r="R135" s="6">
        <f t="shared" si="22"/>
        <v>1.2264380305946647E-2</v>
      </c>
      <c r="S135" s="2"/>
      <c r="T135" s="7">
        <v>42288.690770000001</v>
      </c>
      <c r="U135" s="2"/>
      <c r="V135" s="6">
        <f t="shared" si="23"/>
        <v>5.1699264989491728E-3</v>
      </c>
      <c r="W135" s="2"/>
      <c r="X135" s="7">
        <f t="shared" si="24"/>
        <v>10043.34923</v>
      </c>
      <c r="Y135" s="2"/>
      <c r="Z135" s="6">
        <f t="shared" si="25"/>
        <v>0.23749491996864672</v>
      </c>
    </row>
    <row r="136" spans="1:26" s="24" customFormat="1" hidden="1" outlineLevel="2" x14ac:dyDescent="0.25">
      <c r="A136" s="26"/>
      <c r="B136" s="11" t="str">
        <f>CONCATENATE("          ", "6119", " - ", "SICK LEAVE")</f>
        <v xml:space="preserve">          6119 - SICK LEAVE</v>
      </c>
      <c r="C136" s="11"/>
      <c r="D136" s="7">
        <v>3824.03</v>
      </c>
      <c r="E136" s="2"/>
      <c r="F136" s="6">
        <f t="shared" si="18"/>
        <v>2.0783311653422294E-2</v>
      </c>
      <c r="G136" s="2"/>
      <c r="H136" s="7">
        <v>4852.1190703846096</v>
      </c>
      <c r="I136" s="2"/>
      <c r="J136" s="6">
        <f t="shared" si="19"/>
        <v>9.4283825248569538E-3</v>
      </c>
      <c r="K136" s="2"/>
      <c r="L136" s="7">
        <f t="shared" si="20"/>
        <v>-1028.0890703846094</v>
      </c>
      <c r="M136" s="2"/>
      <c r="N136" s="6">
        <f t="shared" si="21"/>
        <v>-0.21188455095004843</v>
      </c>
      <c r="O136" s="11"/>
      <c r="P136" s="7">
        <v>37415.69</v>
      </c>
      <c r="Q136" s="2"/>
      <c r="R136" s="6">
        <f t="shared" si="22"/>
        <v>8.7686291527982636E-3</v>
      </c>
      <c r="S136" s="2"/>
      <c r="T136" s="7">
        <v>47676.514767499997</v>
      </c>
      <c r="U136" s="2"/>
      <c r="V136" s="6">
        <f t="shared" si="23"/>
        <v>5.8286050616846701E-3</v>
      </c>
      <c r="W136" s="2"/>
      <c r="X136" s="7">
        <f t="shared" si="24"/>
        <v>-10260.824767499995</v>
      </c>
      <c r="Y136" s="2"/>
      <c r="Z136" s="6">
        <f t="shared" si="25"/>
        <v>-0.21521759334838308</v>
      </c>
    </row>
    <row r="137" spans="1:26" s="24" customFormat="1" hidden="1" outlineLevel="2" x14ac:dyDescent="0.25">
      <c r="A137" s="26"/>
      <c r="B137" s="11" t="str">
        <f>CONCATENATE("          ", "6156", " - ", "EMPLOYEE MEALS")</f>
        <v xml:space="preserve">          6156 - EMPLOYEE MEALS</v>
      </c>
      <c r="C137" s="11"/>
      <c r="D137" s="7">
        <v>1556.92</v>
      </c>
      <c r="E137" s="2"/>
      <c r="F137" s="6">
        <f t="shared" si="18"/>
        <v>8.4617415604601003E-3</v>
      </c>
      <c r="G137" s="2"/>
      <c r="H137" s="7">
        <v>1800</v>
      </c>
      <c r="I137" s="2"/>
      <c r="J137" s="6">
        <f t="shared" si="19"/>
        <v>3.4976653084066384E-3</v>
      </c>
      <c r="K137" s="2"/>
      <c r="L137" s="7">
        <f t="shared" si="20"/>
        <v>-243.07999999999993</v>
      </c>
      <c r="M137" s="2"/>
      <c r="N137" s="6">
        <f t="shared" si="21"/>
        <v>-0.13504444444444441</v>
      </c>
      <c r="O137" s="11"/>
      <c r="P137" s="7">
        <v>13222.84</v>
      </c>
      <c r="Q137" s="2"/>
      <c r="R137" s="6">
        <f t="shared" si="22"/>
        <v>3.0988652168859373E-3</v>
      </c>
      <c r="S137" s="2"/>
      <c r="T137" s="7">
        <v>16200</v>
      </c>
      <c r="U137" s="2"/>
      <c r="V137" s="6">
        <f t="shared" si="23"/>
        <v>1.9805013529147052E-3</v>
      </c>
      <c r="W137" s="2"/>
      <c r="X137" s="7">
        <f t="shared" si="24"/>
        <v>-2977.16</v>
      </c>
      <c r="Y137" s="2"/>
      <c r="Z137" s="6">
        <f t="shared" si="25"/>
        <v>-0.1837753086419753</v>
      </c>
    </row>
    <row r="138" spans="1:26" s="25" customFormat="1" outlineLevel="1" collapsed="1" x14ac:dyDescent="0.25">
      <c r="A138" s="27"/>
      <c r="B138" s="13" t="str">
        <f>CONCATENATE("     ","*Payroll                                          ")</f>
        <v xml:space="preserve">     *Payroll                                          </v>
      </c>
      <c r="C138" s="13"/>
      <c r="D138" s="1">
        <f>SUM(OSRRefD22_1x_0)</f>
        <v>116406.42</v>
      </c>
      <c r="E138" s="1"/>
      <c r="F138" s="5">
        <f t="shared" ref="F138:F148" si="26">IF(D$12=0,0,D138/D$12)</f>
        <v>0.63266002236362429</v>
      </c>
      <c r="G138" s="1"/>
      <c r="H138" s="1">
        <f>SUM(OSRRefH22_1x_0)</f>
        <v>170867.6269436923</v>
      </c>
      <c r="I138" s="1"/>
      <c r="J138" s="5">
        <f t="shared" ref="J138:J148" si="27">IF(H$12=0,0,H138/H$12)</f>
        <v>0.33202098393928892</v>
      </c>
      <c r="K138" s="1"/>
      <c r="L138" s="1">
        <f t="shared" ref="L138:L148" si="28">+D138-H138</f>
        <v>-54461.206943692305</v>
      </c>
      <c r="M138" s="1"/>
      <c r="N138" s="5">
        <f t="shared" ref="N138:N148" si="29">IF(H138=0,0,L138/H138)</f>
        <v>-0.31873332542763905</v>
      </c>
      <c r="O138" s="13"/>
      <c r="P138" s="1">
        <f>SUM(OSRRefP22_1x_0)</f>
        <v>1165022.1800000002</v>
      </c>
      <c r="Q138" s="1"/>
      <c r="R138" s="5">
        <f t="shared" ref="R138:R148" si="30">IF(P$12=0,0,P138/P$12)</f>
        <v>0.273031112113784</v>
      </c>
      <c r="S138" s="1"/>
      <c r="T138" s="1">
        <f>SUM(OSRRefT22_1x_0)</f>
        <v>1697865.6077759999</v>
      </c>
      <c r="U138" s="1"/>
      <c r="V138" s="5">
        <f t="shared" ref="V138:V148" si="31">IF(T$12=0,0,T138/T$12)</f>
        <v>0.20756945267084664</v>
      </c>
      <c r="W138" s="1"/>
      <c r="X138" s="1">
        <f t="shared" ref="X138:X148" si="32">+P138-T138</f>
        <v>-532843.42777599976</v>
      </c>
      <c r="Y138" s="1"/>
      <c r="Z138" s="5">
        <f t="shared" ref="Z138:Z148" si="33">IF(T138=0,0,X138/T138)</f>
        <v>-0.31383133349049969</v>
      </c>
    </row>
    <row r="139" spans="1:26" s="24" customFormat="1" hidden="1" outlineLevel="2" x14ac:dyDescent="0.25">
      <c r="A139" s="26"/>
      <c r="B139" s="11" t="str">
        <f>CONCATENATE("          ", "6001", " - ", "ADMINISTRATIVE SALARIES")</f>
        <v xml:space="preserve">          6001 - ADMINISTRATIVE SALARIES</v>
      </c>
      <c r="C139" s="11"/>
      <c r="D139" s="7">
        <v>4279.74</v>
      </c>
      <c r="E139" s="2"/>
      <c r="F139" s="6">
        <f t="shared" si="26"/>
        <v>2.3260060777665847E-2</v>
      </c>
      <c r="G139" s="2"/>
      <c r="H139" s="7">
        <v>13047.3923076923</v>
      </c>
      <c r="I139" s="2"/>
      <c r="J139" s="6">
        <f t="shared" si="27"/>
        <v>2.5353006355437219E-2</v>
      </c>
      <c r="K139" s="2"/>
      <c r="L139" s="7">
        <f t="shared" si="28"/>
        <v>-8767.6523076923004</v>
      </c>
      <c r="M139" s="2"/>
      <c r="N139" s="6">
        <f t="shared" si="29"/>
        <v>-0.67198502972300367</v>
      </c>
      <c r="O139" s="11"/>
      <c r="P139" s="7">
        <v>38776.33</v>
      </c>
      <c r="Q139" s="2"/>
      <c r="R139" s="6">
        <f t="shared" si="30"/>
        <v>9.0875046718776505E-3</v>
      </c>
      <c r="S139" s="2"/>
      <c r="T139" s="7">
        <v>127212.075</v>
      </c>
      <c r="U139" s="2"/>
      <c r="V139" s="6">
        <f t="shared" si="31"/>
        <v>1.5552079422505366E-2</v>
      </c>
      <c r="W139" s="2"/>
      <c r="X139" s="7">
        <f t="shared" si="32"/>
        <v>-88435.744999999995</v>
      </c>
      <c r="Y139" s="2"/>
      <c r="Z139" s="6">
        <f t="shared" si="33"/>
        <v>-0.69518357435801592</v>
      </c>
    </row>
    <row r="140" spans="1:26" s="24" customFormat="1" hidden="1" outlineLevel="2" x14ac:dyDescent="0.25">
      <c r="A140" s="26"/>
      <c r="B140" s="11" t="str">
        <f>CONCATENATE("          ", "6002", " - ", "STAFF SALARIES")</f>
        <v xml:space="preserve">          6002 - STAFF SALARIES</v>
      </c>
      <c r="C140" s="11"/>
      <c r="D140" s="7">
        <v>59850.43</v>
      </c>
      <c r="E140" s="2"/>
      <c r="F140" s="6">
        <f t="shared" si="26"/>
        <v>0.32528252636128252</v>
      </c>
      <c r="G140" s="2"/>
      <c r="H140" s="7">
        <v>45742.818055999996</v>
      </c>
      <c r="I140" s="2"/>
      <c r="J140" s="6">
        <f t="shared" si="27"/>
        <v>8.8885037679571108E-2</v>
      </c>
      <c r="K140" s="2"/>
      <c r="L140" s="7">
        <f t="shared" si="28"/>
        <v>14107.611944000004</v>
      </c>
      <c r="M140" s="2"/>
      <c r="N140" s="6">
        <f t="shared" si="29"/>
        <v>0.30841151777594811</v>
      </c>
      <c r="O140" s="11"/>
      <c r="P140" s="7">
        <v>574703.89</v>
      </c>
      <c r="Q140" s="2"/>
      <c r="R140" s="6">
        <f t="shared" si="30"/>
        <v>0.13468588402567391</v>
      </c>
      <c r="S140" s="2"/>
      <c r="T140" s="7">
        <v>440847.44874600001</v>
      </c>
      <c r="U140" s="2"/>
      <c r="V140" s="6">
        <f t="shared" si="31"/>
        <v>5.3894998066077109E-2</v>
      </c>
      <c r="W140" s="2"/>
      <c r="X140" s="7">
        <f t="shared" si="32"/>
        <v>133856.441254</v>
      </c>
      <c r="Y140" s="2"/>
      <c r="Z140" s="6">
        <f t="shared" si="33"/>
        <v>0.30363437881915278</v>
      </c>
    </row>
    <row r="141" spans="1:26" s="24" customFormat="1" hidden="1" outlineLevel="2" x14ac:dyDescent="0.25">
      <c r="A141" s="26"/>
      <c r="B141" s="11" t="str">
        <f>CONCATENATE("          ", "6003", " - ", "STAFF HOURLY-9 MONTH")</f>
        <v xml:space="preserve">          6003 - STAFF HOURLY-9 MONTH</v>
      </c>
      <c r="C141" s="11"/>
      <c r="D141" s="7"/>
      <c r="E141" s="2"/>
      <c r="F141" s="6">
        <f t="shared" si="26"/>
        <v>0</v>
      </c>
      <c r="G141" s="2"/>
      <c r="H141" s="7">
        <v>0</v>
      </c>
      <c r="I141" s="2"/>
      <c r="J141" s="6">
        <f t="shared" si="27"/>
        <v>0</v>
      </c>
      <c r="K141" s="2"/>
      <c r="L141" s="7">
        <f t="shared" si="28"/>
        <v>0</v>
      </c>
      <c r="M141" s="2"/>
      <c r="N141" s="6">
        <f t="shared" si="29"/>
        <v>0</v>
      </c>
      <c r="O141" s="11"/>
      <c r="P141" s="7"/>
      <c r="Q141" s="2"/>
      <c r="R141" s="6">
        <f t="shared" si="30"/>
        <v>0</v>
      </c>
      <c r="S141" s="2"/>
      <c r="T141" s="7">
        <v>0</v>
      </c>
      <c r="U141" s="2"/>
      <c r="V141" s="6">
        <f t="shared" si="31"/>
        <v>0</v>
      </c>
      <c r="W141" s="2"/>
      <c r="X141" s="7">
        <f t="shared" si="32"/>
        <v>0</v>
      </c>
      <c r="Y141" s="2"/>
      <c r="Z141" s="6">
        <f t="shared" si="33"/>
        <v>0</v>
      </c>
    </row>
    <row r="142" spans="1:26" s="24" customFormat="1" hidden="1" outlineLevel="2" x14ac:dyDescent="0.25">
      <c r="A142" s="26"/>
      <c r="B142" s="11" t="str">
        <f>CONCATENATE("          ", "6004", " - ", "STAFF HOURLY")</f>
        <v xml:space="preserve">          6004 - STAFF HOURLY</v>
      </c>
      <c r="C142" s="11"/>
      <c r="D142" s="7">
        <v>11915.7</v>
      </c>
      <c r="E142" s="2"/>
      <c r="F142" s="6">
        <f t="shared" si="26"/>
        <v>6.4760921506547817E-2</v>
      </c>
      <c r="G142" s="2"/>
      <c r="H142" s="7">
        <v>31568.790079999999</v>
      </c>
      <c r="I142" s="2"/>
      <c r="J142" s="6">
        <f t="shared" si="27"/>
        <v>6.1342812161770906E-2</v>
      </c>
      <c r="K142" s="2"/>
      <c r="L142" s="7">
        <f t="shared" si="28"/>
        <v>-19653.090079999998</v>
      </c>
      <c r="M142" s="2"/>
      <c r="N142" s="6">
        <f t="shared" si="29"/>
        <v>-0.622548093550502</v>
      </c>
      <c r="O142" s="11"/>
      <c r="P142" s="7">
        <v>137508.13</v>
      </c>
      <c r="Q142" s="2"/>
      <c r="R142" s="6">
        <f t="shared" si="30"/>
        <v>3.2225993893598474E-2</v>
      </c>
      <c r="S142" s="2"/>
      <c r="T142" s="7">
        <v>279890.77078000002</v>
      </c>
      <c r="U142" s="2"/>
      <c r="V142" s="6">
        <f t="shared" si="31"/>
        <v>3.4217533962847511E-2</v>
      </c>
      <c r="W142" s="2"/>
      <c r="X142" s="7">
        <f t="shared" si="32"/>
        <v>-142382.64078000002</v>
      </c>
      <c r="Y142" s="2"/>
      <c r="Z142" s="6">
        <f t="shared" si="33"/>
        <v>-0.50870788051784577</v>
      </c>
    </row>
    <row r="143" spans="1:26" s="24" customFormat="1" hidden="1" outlineLevel="2" x14ac:dyDescent="0.25">
      <c r="A143" s="26"/>
      <c r="B143" s="11" t="str">
        <f>CONCATENATE("          ", "6005", " - ", "TEMPORARY WAGES-HOURLY")</f>
        <v xml:space="preserve">          6005 - TEMPORARY WAGES-HOURLY</v>
      </c>
      <c r="C143" s="11"/>
      <c r="D143" s="7">
        <v>13818.91</v>
      </c>
      <c r="E143" s="2"/>
      <c r="F143" s="6">
        <f t="shared" si="26"/>
        <v>7.51047228292126E-2</v>
      </c>
      <c r="G143" s="2"/>
      <c r="H143" s="7">
        <v>11545.82</v>
      </c>
      <c r="I143" s="2"/>
      <c r="J143" s="6">
        <f t="shared" si="27"/>
        <v>2.2435230039504185E-2</v>
      </c>
      <c r="K143" s="2"/>
      <c r="L143" s="7">
        <f t="shared" si="28"/>
        <v>2273.09</v>
      </c>
      <c r="M143" s="2"/>
      <c r="N143" s="6">
        <f t="shared" si="29"/>
        <v>0.1968755792139493</v>
      </c>
      <c r="O143" s="11"/>
      <c r="P143" s="7">
        <v>138358.94</v>
      </c>
      <c r="Q143" s="2"/>
      <c r="R143" s="6">
        <f t="shared" si="30"/>
        <v>3.2425387179396289E-2</v>
      </c>
      <c r="S143" s="2"/>
      <c r="T143" s="7">
        <v>76760.682000000001</v>
      </c>
      <c r="U143" s="2"/>
      <c r="V143" s="6">
        <f t="shared" si="31"/>
        <v>9.3842367007194727E-3</v>
      </c>
      <c r="W143" s="2"/>
      <c r="X143" s="7">
        <f t="shared" si="32"/>
        <v>61598.258000000002</v>
      </c>
      <c r="Y143" s="2"/>
      <c r="Z143" s="6">
        <f t="shared" si="33"/>
        <v>0.80247147882297343</v>
      </c>
    </row>
    <row r="144" spans="1:26" s="24" customFormat="1" hidden="1" outlineLevel="2" x14ac:dyDescent="0.25">
      <c r="A144" s="26"/>
      <c r="B144" s="11" t="str">
        <f>CONCATENATE("          ", "6006", " - ", "TEMPORARY PART TIME")</f>
        <v xml:space="preserve">          6006 - TEMPORARY PART TIME</v>
      </c>
      <c r="C144" s="11"/>
      <c r="D144" s="7">
        <v>2022.89</v>
      </c>
      <c r="E144" s="2"/>
      <c r="F144" s="6">
        <f t="shared" si="26"/>
        <v>1.099425300287692E-2</v>
      </c>
      <c r="G144" s="2"/>
      <c r="H144" s="7">
        <v>0</v>
      </c>
      <c r="I144" s="2"/>
      <c r="J144" s="6">
        <f t="shared" si="27"/>
        <v>0</v>
      </c>
      <c r="K144" s="2"/>
      <c r="L144" s="7">
        <f t="shared" si="28"/>
        <v>2022.89</v>
      </c>
      <c r="M144" s="2"/>
      <c r="N144" s="6">
        <f t="shared" si="29"/>
        <v>0</v>
      </c>
      <c r="O144" s="11"/>
      <c r="P144" s="7">
        <v>14053.29</v>
      </c>
      <c r="Q144" s="2"/>
      <c r="R144" s="6">
        <f t="shared" si="30"/>
        <v>3.2934869940051438E-3</v>
      </c>
      <c r="S144" s="2"/>
      <c r="T144" s="7">
        <v>0</v>
      </c>
      <c r="U144" s="2"/>
      <c r="V144" s="6">
        <f t="shared" si="31"/>
        <v>0</v>
      </c>
      <c r="W144" s="2"/>
      <c r="X144" s="7">
        <f t="shared" si="32"/>
        <v>14053.29</v>
      </c>
      <c r="Y144" s="2"/>
      <c r="Z144" s="6">
        <f t="shared" si="33"/>
        <v>0</v>
      </c>
    </row>
    <row r="145" spans="1:26" s="24" customFormat="1" hidden="1" outlineLevel="2" x14ac:dyDescent="0.25">
      <c r="A145" s="26"/>
      <c r="B145" s="11" t="str">
        <f>CONCATENATE("          ", "6007", " - ", "STUDENT HOURLY")</f>
        <v xml:space="preserve">          6007 - STUDENT HOURLY</v>
      </c>
      <c r="C145" s="11"/>
      <c r="D145" s="7">
        <v>23406.38</v>
      </c>
      <c r="E145" s="2"/>
      <c r="F145" s="6">
        <f t="shared" si="26"/>
        <v>0.12721189170023001</v>
      </c>
      <c r="G145" s="2"/>
      <c r="H145" s="7">
        <v>0</v>
      </c>
      <c r="I145" s="2"/>
      <c r="J145" s="6">
        <f t="shared" si="27"/>
        <v>0</v>
      </c>
      <c r="K145" s="2"/>
      <c r="L145" s="7">
        <f t="shared" si="28"/>
        <v>23406.38</v>
      </c>
      <c r="M145" s="2"/>
      <c r="N145" s="6">
        <f t="shared" si="29"/>
        <v>0</v>
      </c>
      <c r="O145" s="11"/>
      <c r="P145" s="7">
        <v>253209.98</v>
      </c>
      <c r="Q145" s="2"/>
      <c r="R145" s="6">
        <f t="shared" si="30"/>
        <v>5.9341533255366008E-2</v>
      </c>
      <c r="S145" s="2"/>
      <c r="T145" s="7">
        <v>152654.96249999999</v>
      </c>
      <c r="U145" s="2"/>
      <c r="V145" s="6">
        <f t="shared" si="31"/>
        <v>1.8662553071629232E-2</v>
      </c>
      <c r="W145" s="2"/>
      <c r="X145" s="7">
        <f t="shared" si="32"/>
        <v>100555.01750000002</v>
      </c>
      <c r="Y145" s="2"/>
      <c r="Z145" s="6">
        <f t="shared" si="33"/>
        <v>0.65870781960330982</v>
      </c>
    </row>
    <row r="146" spans="1:26" s="24" customFormat="1" hidden="1" outlineLevel="2" x14ac:dyDescent="0.25">
      <c r="A146" s="26"/>
      <c r="B146" s="11" t="str">
        <f>CONCATENATE("          ", "6008", " - ", "STUDENT HOURLY-FICA EXEMPT")</f>
        <v xml:space="preserve">          6008 - STUDENT HOURLY-FICA EXEMPT</v>
      </c>
      <c r="C146" s="11"/>
      <c r="D146" s="7">
        <v>1112.3699999999999</v>
      </c>
      <c r="E146" s="2"/>
      <c r="F146" s="6">
        <f t="shared" si="26"/>
        <v>6.0456461858085205E-3</v>
      </c>
      <c r="G146" s="2"/>
      <c r="H146" s="7">
        <v>68962.806500000006</v>
      </c>
      <c r="I146" s="2"/>
      <c r="J146" s="6">
        <f t="shared" si="27"/>
        <v>0.13400489770300547</v>
      </c>
      <c r="K146" s="2"/>
      <c r="L146" s="7">
        <f t="shared" si="28"/>
        <v>-67850.436500000011</v>
      </c>
      <c r="M146" s="2"/>
      <c r="N146" s="6">
        <f t="shared" si="29"/>
        <v>-0.9838700009982918</v>
      </c>
      <c r="O146" s="11"/>
      <c r="P146" s="7">
        <v>8411.6200000000008</v>
      </c>
      <c r="Q146" s="2"/>
      <c r="R146" s="6">
        <f t="shared" si="30"/>
        <v>1.9713220938665289E-3</v>
      </c>
      <c r="S146" s="2"/>
      <c r="T146" s="7">
        <v>620499.66874999995</v>
      </c>
      <c r="U146" s="2"/>
      <c r="V146" s="6">
        <f t="shared" si="31"/>
        <v>7.5858051447067976E-2</v>
      </c>
      <c r="W146" s="2"/>
      <c r="X146" s="7">
        <f t="shared" si="32"/>
        <v>-612088.04874999996</v>
      </c>
      <c r="Y146" s="2"/>
      <c r="Z146" s="6">
        <f t="shared" si="33"/>
        <v>-0.98644379614747379</v>
      </c>
    </row>
    <row r="147" spans="1:26" s="24" customFormat="1" hidden="1" outlineLevel="2" x14ac:dyDescent="0.25">
      <c r="A147" s="26"/>
      <c r="B147" s="11" t="str">
        <f>CONCATENATE("          ", "6009", " - ", "TEMPORARY-SEASONAL")</f>
        <v xml:space="preserve">          6009 - TEMPORARY-SEASONAL</v>
      </c>
      <c r="C147" s="11"/>
      <c r="D147" s="7"/>
      <c r="E147" s="2"/>
      <c r="F147" s="6">
        <f t="shared" si="26"/>
        <v>0</v>
      </c>
      <c r="G147" s="2"/>
      <c r="H147" s="7">
        <v>0</v>
      </c>
      <c r="I147" s="2"/>
      <c r="J147" s="6">
        <f t="shared" si="27"/>
        <v>0</v>
      </c>
      <c r="K147" s="2"/>
      <c r="L147" s="7">
        <f t="shared" si="28"/>
        <v>0</v>
      </c>
      <c r="M147" s="2"/>
      <c r="N147" s="6">
        <f t="shared" si="29"/>
        <v>0</v>
      </c>
      <c r="O147" s="11"/>
      <c r="P147" s="7"/>
      <c r="Q147" s="2"/>
      <c r="R147" s="6">
        <f t="shared" si="30"/>
        <v>0</v>
      </c>
      <c r="S147" s="2"/>
      <c r="T147" s="7">
        <v>0</v>
      </c>
      <c r="U147" s="2"/>
      <c r="V147" s="6">
        <f t="shared" si="31"/>
        <v>0</v>
      </c>
      <c r="W147" s="2"/>
      <c r="X147" s="7">
        <f t="shared" si="32"/>
        <v>0</v>
      </c>
      <c r="Y147" s="2"/>
      <c r="Z147" s="6">
        <f t="shared" si="33"/>
        <v>0</v>
      </c>
    </row>
    <row r="148" spans="1:26" s="24" customFormat="1" hidden="1" outlineLevel="2" x14ac:dyDescent="0.25">
      <c r="A148" s="26"/>
      <c r="B148" s="11" t="str">
        <f>CONCATENATE("          ", "6010", " - ", "GRATUITY")</f>
        <v xml:space="preserve">          6010 - GRATUITY</v>
      </c>
      <c r="C148" s="11"/>
      <c r="D148" s="7"/>
      <c r="E148" s="2"/>
      <c r="F148" s="6">
        <f t="shared" si="26"/>
        <v>0</v>
      </c>
      <c r="G148" s="2"/>
      <c r="H148" s="7">
        <v>0</v>
      </c>
      <c r="I148" s="2"/>
      <c r="J148" s="6">
        <f t="shared" si="27"/>
        <v>0</v>
      </c>
      <c r="K148" s="2"/>
      <c r="L148" s="7">
        <f t="shared" si="28"/>
        <v>0</v>
      </c>
      <c r="M148" s="2"/>
      <c r="N148" s="6">
        <f t="shared" si="29"/>
        <v>0</v>
      </c>
      <c r="O148" s="11"/>
      <c r="P148" s="7"/>
      <c r="Q148" s="2"/>
      <c r="R148" s="6">
        <f t="shared" si="30"/>
        <v>0</v>
      </c>
      <c r="S148" s="2"/>
      <c r="T148" s="7">
        <v>0</v>
      </c>
      <c r="U148" s="2"/>
      <c r="V148" s="6">
        <f t="shared" si="31"/>
        <v>0</v>
      </c>
      <c r="W148" s="2"/>
      <c r="X148" s="7">
        <f t="shared" si="32"/>
        <v>0</v>
      </c>
      <c r="Y148" s="2"/>
      <c r="Z148" s="6">
        <f t="shared" si="33"/>
        <v>0</v>
      </c>
    </row>
    <row r="149" spans="1:26" s="25" customFormat="1" outlineLevel="1" collapsed="1" x14ac:dyDescent="0.25">
      <c r="A149" s="27"/>
      <c r="B149" s="13" t="str">
        <f>CONCATENATE("     ","Advertising/Promo                                 ")</f>
        <v xml:space="preserve">     Advertising/Promo                                 </v>
      </c>
      <c r="C149" s="13"/>
      <c r="D149" s="1">
        <f>SUM(OSRRefD22_2x_0)</f>
        <v>73.430000000000007</v>
      </c>
      <c r="E149" s="1"/>
      <c r="F149" s="5">
        <f t="shared" ref="F149:F153" si="34">IF(D$12=0,0,D149/D$12)</f>
        <v>3.990864545285469E-4</v>
      </c>
      <c r="G149" s="1"/>
      <c r="H149" s="1">
        <f>SUM(OSRRefH22_2x_0)</f>
        <v>2780</v>
      </c>
      <c r="I149" s="1"/>
      <c r="J149" s="5">
        <f t="shared" ref="J149:J153" si="35">IF(H$12=0,0,H149/H$12)</f>
        <v>5.4019497540946969E-3</v>
      </c>
      <c r="K149" s="1"/>
      <c r="L149" s="1">
        <f t="shared" ref="L149:L153" si="36">+D149-H149</f>
        <v>-2706.57</v>
      </c>
      <c r="M149" s="1"/>
      <c r="N149" s="5">
        <f t="shared" ref="N149:N153" si="37">IF(H149=0,0,L149/H149)</f>
        <v>-0.97358633093525182</v>
      </c>
      <c r="O149" s="13"/>
      <c r="P149" s="1">
        <f>SUM(OSRRefP22_2x_0)</f>
        <v>16222.22</v>
      </c>
      <c r="Q149" s="1"/>
      <c r="R149" s="5">
        <f t="shared" ref="R149:R153" si="38">IF(P$12=0,0,P149/P$12)</f>
        <v>3.8017909389111105E-3</v>
      </c>
      <c r="S149" s="1"/>
      <c r="T149" s="1">
        <f>SUM(OSRRefT22_2x_0)</f>
        <v>14589</v>
      </c>
      <c r="U149" s="1"/>
      <c r="V149" s="5">
        <f t="shared" ref="V149:V153" si="39">IF(T$12=0,0,T149/T$12)</f>
        <v>1.7835514961526315E-3</v>
      </c>
      <c r="W149" s="1"/>
      <c r="X149" s="1">
        <f t="shared" ref="X149:X153" si="40">+P149-T149</f>
        <v>1633.2199999999993</v>
      </c>
      <c r="Y149" s="1"/>
      <c r="Z149" s="5">
        <f t="shared" ref="Z149:Z153" si="41">IF(T149=0,0,X149/T149)</f>
        <v>0.11194872849407084</v>
      </c>
    </row>
    <row r="150" spans="1:26" s="24" customFormat="1" hidden="1" outlineLevel="2" x14ac:dyDescent="0.25">
      <c r="A150" s="26"/>
      <c r="B150" s="11" t="str">
        <f>CONCATENATE("          ", "6362", " - ", "ADVERTISING EXPENSE")</f>
        <v xml:space="preserve">          6362 - ADVERTISING EXPENSE</v>
      </c>
      <c r="C150" s="11"/>
      <c r="D150" s="7">
        <v>73.430000000000007</v>
      </c>
      <c r="E150" s="2"/>
      <c r="F150" s="6">
        <f t="shared" si="34"/>
        <v>3.990864545285469E-4</v>
      </c>
      <c r="G150" s="2"/>
      <c r="H150" s="7">
        <v>2780</v>
      </c>
      <c r="I150" s="2"/>
      <c r="J150" s="6">
        <f t="shared" si="35"/>
        <v>5.4019497540946969E-3</v>
      </c>
      <c r="K150" s="2"/>
      <c r="L150" s="7">
        <f t="shared" si="36"/>
        <v>-2706.57</v>
      </c>
      <c r="M150" s="2"/>
      <c r="N150" s="6">
        <f t="shared" si="37"/>
        <v>-0.97358633093525182</v>
      </c>
      <c r="O150" s="11"/>
      <c r="P150" s="7">
        <v>16222.22</v>
      </c>
      <c r="Q150" s="2"/>
      <c r="R150" s="6">
        <f t="shared" si="38"/>
        <v>3.8017909389111105E-3</v>
      </c>
      <c r="S150" s="2"/>
      <c r="T150" s="7">
        <v>14589</v>
      </c>
      <c r="U150" s="2"/>
      <c r="V150" s="6">
        <f t="shared" si="39"/>
        <v>1.7835514961526315E-3</v>
      </c>
      <c r="W150" s="2"/>
      <c r="X150" s="7">
        <f t="shared" si="40"/>
        <v>1633.2199999999993</v>
      </c>
      <c r="Y150" s="2"/>
      <c r="Z150" s="6">
        <f t="shared" si="41"/>
        <v>0.11194872849407084</v>
      </c>
    </row>
    <row r="151" spans="1:26" s="25" customFormat="1" outlineLevel="1" collapsed="1" x14ac:dyDescent="0.25">
      <c r="A151" s="27"/>
      <c r="B151" s="13" t="str">
        <f>CONCATENATE("     ","Bad Debts/Over/Short                              ")</f>
        <v xml:space="preserve">     Bad Debts/Over/Short                              </v>
      </c>
      <c r="C151" s="13"/>
      <c r="D151" s="1">
        <f>SUM(OSRRefD22_3x_0)</f>
        <v>-16.510000000000002</v>
      </c>
      <c r="E151" s="1"/>
      <c r="F151" s="5">
        <f t="shared" si="34"/>
        <v>-8.9730591914289931E-5</v>
      </c>
      <c r="G151" s="1"/>
      <c r="H151" s="1">
        <f>SUM(OSRRefH22_3x_0)</f>
        <v>118</v>
      </c>
      <c r="I151" s="1"/>
      <c r="J151" s="5">
        <f t="shared" si="35"/>
        <v>2.2929139243999075E-4</v>
      </c>
      <c r="K151" s="1"/>
      <c r="L151" s="1">
        <f t="shared" si="36"/>
        <v>-134.51</v>
      </c>
      <c r="M151" s="1"/>
      <c r="N151" s="5">
        <f t="shared" si="37"/>
        <v>-1.1399152542372881</v>
      </c>
      <c r="O151" s="13"/>
      <c r="P151" s="1">
        <f>SUM(OSRRefP22_3x_0)</f>
        <v>5187.26</v>
      </c>
      <c r="Q151" s="1"/>
      <c r="R151" s="5">
        <f t="shared" si="38"/>
        <v>1.2156707322287608E-3</v>
      </c>
      <c r="S151" s="1"/>
      <c r="T151" s="1">
        <f>SUM(OSRRefT22_3x_0)</f>
        <v>1062</v>
      </c>
      <c r="U151" s="1"/>
      <c r="V151" s="5">
        <f t="shared" si="39"/>
        <v>1.2983286646885288E-4</v>
      </c>
      <c r="W151" s="1"/>
      <c r="X151" s="1">
        <f t="shared" si="40"/>
        <v>4125.26</v>
      </c>
      <c r="Y151" s="1"/>
      <c r="Z151" s="5">
        <f t="shared" si="41"/>
        <v>3.884425612052731</v>
      </c>
    </row>
    <row r="152" spans="1:26" s="24" customFormat="1" hidden="1" outlineLevel="2" x14ac:dyDescent="0.25">
      <c r="A152" s="26"/>
      <c r="B152" s="11" t="str">
        <f>CONCATENATE("          ", "6272", " - ", "CASH (OVER/SHORT)")</f>
        <v xml:space="preserve">          6272 - CASH (OVER/SHORT)</v>
      </c>
      <c r="C152" s="11"/>
      <c r="D152" s="7">
        <v>-16.510000000000002</v>
      </c>
      <c r="E152" s="2"/>
      <c r="F152" s="6">
        <f t="shared" si="34"/>
        <v>-8.9730591914289931E-5</v>
      </c>
      <c r="G152" s="2"/>
      <c r="H152" s="7">
        <v>68</v>
      </c>
      <c r="I152" s="2"/>
      <c r="J152" s="6">
        <f t="shared" si="35"/>
        <v>1.3213402276202857E-4</v>
      </c>
      <c r="K152" s="2"/>
      <c r="L152" s="7">
        <f t="shared" si="36"/>
        <v>-84.51</v>
      </c>
      <c r="M152" s="2"/>
      <c r="N152" s="6">
        <f t="shared" si="37"/>
        <v>-1.2427941176470589</v>
      </c>
      <c r="O152" s="11"/>
      <c r="P152" s="7">
        <v>-162.16</v>
      </c>
      <c r="Q152" s="2"/>
      <c r="R152" s="6">
        <f t="shared" si="38"/>
        <v>-3.8003332383226569E-5</v>
      </c>
      <c r="S152" s="2"/>
      <c r="T152" s="7">
        <v>612</v>
      </c>
      <c r="U152" s="2"/>
      <c r="V152" s="6">
        <f t="shared" si="39"/>
        <v>7.4818939998999972E-5</v>
      </c>
      <c r="W152" s="2"/>
      <c r="X152" s="7">
        <f t="shared" si="40"/>
        <v>-774.16</v>
      </c>
      <c r="Y152" s="2"/>
      <c r="Z152" s="6">
        <f t="shared" si="41"/>
        <v>-1.2649673202614378</v>
      </c>
    </row>
    <row r="153" spans="1:26" s="24" customFormat="1" hidden="1" outlineLevel="2" x14ac:dyDescent="0.25">
      <c r="A153" s="26"/>
      <c r="B153" s="11" t="str">
        <f>CONCATENATE("          ", "6342", " - ", "BAD DEBT")</f>
        <v xml:space="preserve">          6342 - BAD DEBT</v>
      </c>
      <c r="C153" s="11"/>
      <c r="D153" s="7"/>
      <c r="E153" s="2"/>
      <c r="F153" s="6">
        <f t="shared" si="34"/>
        <v>0</v>
      </c>
      <c r="G153" s="2"/>
      <c r="H153" s="7">
        <v>50</v>
      </c>
      <c r="I153" s="2"/>
      <c r="J153" s="6">
        <f t="shared" si="35"/>
        <v>9.7157369677962184E-5</v>
      </c>
      <c r="K153" s="2"/>
      <c r="L153" s="7">
        <f t="shared" si="36"/>
        <v>-50</v>
      </c>
      <c r="M153" s="2"/>
      <c r="N153" s="6">
        <f t="shared" si="37"/>
        <v>-1</v>
      </c>
      <c r="O153" s="11"/>
      <c r="P153" s="7">
        <v>5349.42</v>
      </c>
      <c r="Q153" s="2"/>
      <c r="R153" s="6">
        <f t="shared" si="38"/>
        <v>1.2536740646119874E-3</v>
      </c>
      <c r="S153" s="2"/>
      <c r="T153" s="7">
        <v>450</v>
      </c>
      <c r="U153" s="2"/>
      <c r="V153" s="6">
        <f t="shared" si="39"/>
        <v>5.5013926469852919E-5</v>
      </c>
      <c r="W153" s="2"/>
      <c r="X153" s="7">
        <f t="shared" si="40"/>
        <v>4899.42</v>
      </c>
      <c r="Y153" s="2"/>
      <c r="Z153" s="6">
        <f t="shared" si="41"/>
        <v>10.887600000000001</v>
      </c>
    </row>
    <row r="154" spans="1:26" s="25" customFormat="1" outlineLevel="1" collapsed="1" x14ac:dyDescent="0.25">
      <c r="A154" s="27"/>
      <c r="B154" s="13" t="str">
        <f>CONCATENATE("     ","Bank/card Fees                                    ")</f>
        <v xml:space="preserve">     Bank/card Fees                                    </v>
      </c>
      <c r="C154" s="13"/>
      <c r="D154" s="1">
        <f>SUM(OSRRefD22_4x_0)</f>
        <v>4048.88</v>
      </c>
      <c r="E154" s="1"/>
      <c r="F154" s="5">
        <f t="shared" ref="F154:F158" si="42">IF(D$12=0,0,D154/D$12)</f>
        <v>2.2005354269529386E-2</v>
      </c>
      <c r="G154" s="1"/>
      <c r="H154" s="1">
        <f>SUM(OSRRefH22_4x_0)</f>
        <v>21911</v>
      </c>
      <c r="I154" s="1"/>
      <c r="J154" s="5">
        <f t="shared" ref="J154:J158" si="43">IF(H$12=0,0,H154/H$12)</f>
        <v>4.2576302540276591E-2</v>
      </c>
      <c r="K154" s="1"/>
      <c r="L154" s="1">
        <f t="shared" ref="L154:L158" si="44">+D154-H154</f>
        <v>-17862.12</v>
      </c>
      <c r="M154" s="1"/>
      <c r="N154" s="5">
        <f t="shared" ref="N154:N158" si="45">IF(H154=0,0,L154/H154)</f>
        <v>-0.81521245036739531</v>
      </c>
      <c r="O154" s="13"/>
      <c r="P154" s="1">
        <f>SUM(OSRRefP22_4x_0)</f>
        <v>70913.19</v>
      </c>
      <c r="Q154" s="1"/>
      <c r="R154" s="5">
        <f t="shared" ref="R154:R158" si="46">IF(P$12=0,0,P154/P$12)</f>
        <v>1.6619003021243823E-2</v>
      </c>
      <c r="S154" s="1"/>
      <c r="T154" s="1">
        <f>SUM(OSRRefT22_4x_0)</f>
        <v>207095</v>
      </c>
      <c r="U154" s="1"/>
      <c r="V154" s="5">
        <f t="shared" ref="V154:V158" si="47">IF(T$12=0,0,T154/T$12)</f>
        <v>2.5318020227275979E-2</v>
      </c>
      <c r="W154" s="1"/>
      <c r="X154" s="1">
        <f t="shared" ref="X154:X158" si="48">+P154-T154</f>
        <v>-136181.81</v>
      </c>
      <c r="Y154" s="1"/>
      <c r="Z154" s="5">
        <f t="shared" ref="Z154:Z158" si="49">IF(T154=0,0,X154/T154)</f>
        <v>-0.65758135155363484</v>
      </c>
    </row>
    <row r="155" spans="1:26" s="24" customFormat="1" hidden="1" outlineLevel="2" x14ac:dyDescent="0.25">
      <c r="A155" s="26"/>
      <c r="B155" s="11" t="str">
        <f>CONCATENATE("          ", "6381", " - ", "BANK/CREDIT CARD FEES")</f>
        <v xml:space="preserve">          6381 - BANK/CREDIT CARD FEES</v>
      </c>
      <c r="C155" s="11"/>
      <c r="D155" s="7">
        <v>4048.88</v>
      </c>
      <c r="E155" s="2"/>
      <c r="F155" s="6">
        <f t="shared" si="42"/>
        <v>2.2005354269529386E-2</v>
      </c>
      <c r="G155" s="2"/>
      <c r="H155" s="7">
        <v>21911</v>
      </c>
      <c r="I155" s="2"/>
      <c r="J155" s="6">
        <f t="shared" si="43"/>
        <v>4.2576302540276591E-2</v>
      </c>
      <c r="K155" s="2"/>
      <c r="L155" s="7">
        <f t="shared" si="44"/>
        <v>-17862.12</v>
      </c>
      <c r="M155" s="2"/>
      <c r="N155" s="6">
        <f t="shared" si="45"/>
        <v>-0.81521245036739531</v>
      </c>
      <c r="O155" s="11"/>
      <c r="P155" s="7">
        <v>70913.19</v>
      </c>
      <c r="Q155" s="2"/>
      <c r="R155" s="6">
        <f t="shared" si="46"/>
        <v>1.6619003021243823E-2</v>
      </c>
      <c r="S155" s="2"/>
      <c r="T155" s="7">
        <v>207095</v>
      </c>
      <c r="U155" s="2"/>
      <c r="V155" s="6">
        <f t="shared" si="47"/>
        <v>2.5318020227275979E-2</v>
      </c>
      <c r="W155" s="2"/>
      <c r="X155" s="7">
        <f t="shared" si="48"/>
        <v>-136181.81</v>
      </c>
      <c r="Y155" s="2"/>
      <c r="Z155" s="6">
        <f t="shared" si="49"/>
        <v>-0.65758135155363484</v>
      </c>
    </row>
    <row r="156" spans="1:26" s="25" customFormat="1" outlineLevel="1" collapsed="1" x14ac:dyDescent="0.25">
      <c r="A156" s="27"/>
      <c r="B156" s="13" t="str">
        <f>CONCATENATE("     ","Depreciation                                      ")</f>
        <v xml:space="preserve">     Depreciation                                      </v>
      </c>
      <c r="C156" s="13"/>
      <c r="D156" s="1">
        <f>SUM(OSRRefD22_5x_0)</f>
        <v>39887.94</v>
      </c>
      <c r="E156" s="1"/>
      <c r="F156" s="5">
        <f t="shared" si="42"/>
        <v>0.21678791438168876</v>
      </c>
      <c r="G156" s="1"/>
      <c r="H156" s="1">
        <f>SUM(OSRRefH22_5x_0)</f>
        <v>38857</v>
      </c>
      <c r="I156" s="1"/>
      <c r="J156" s="5">
        <f t="shared" si="43"/>
        <v>7.5504878271531531E-2</v>
      </c>
      <c r="K156" s="1"/>
      <c r="L156" s="1">
        <f t="shared" si="44"/>
        <v>1030.9400000000023</v>
      </c>
      <c r="M156" s="1"/>
      <c r="N156" s="5">
        <f t="shared" si="45"/>
        <v>2.6531641660447341E-2</v>
      </c>
      <c r="O156" s="13"/>
      <c r="P156" s="1">
        <f>SUM(OSRRefP22_5x_0)</f>
        <v>359468.23</v>
      </c>
      <c r="Q156" s="1"/>
      <c r="R156" s="5">
        <f t="shared" si="46"/>
        <v>8.4243898778367882E-2</v>
      </c>
      <c r="S156" s="1"/>
      <c r="T156" s="1">
        <f>SUM(OSRRefT22_5x_0)</f>
        <v>351169</v>
      </c>
      <c r="U156" s="1"/>
      <c r="V156" s="5">
        <f t="shared" si="47"/>
        <v>4.2931523432203952E-2</v>
      </c>
      <c r="W156" s="1"/>
      <c r="X156" s="1">
        <f t="shared" si="48"/>
        <v>8299.2299999999814</v>
      </c>
      <c r="Y156" s="1"/>
      <c r="Z156" s="5">
        <f t="shared" si="49"/>
        <v>2.3633150989979132E-2</v>
      </c>
    </row>
    <row r="157" spans="1:26" s="24" customFormat="1" hidden="1" outlineLevel="2" x14ac:dyDescent="0.25">
      <c r="A157" s="26"/>
      <c r="B157" s="11" t="str">
        <f>CONCATENATE("          ", "6321", " - ", "BUILDING DEPRECIATION")</f>
        <v xml:space="preserve">          6321 - BUILDING DEPRECIATION</v>
      </c>
      <c r="C157" s="11"/>
      <c r="D157" s="7">
        <v>21477.03</v>
      </c>
      <c r="E157" s="2"/>
      <c r="F157" s="6">
        <f t="shared" si="42"/>
        <v>0.11672602146947074</v>
      </c>
      <c r="G157" s="2"/>
      <c r="H157" s="7"/>
      <c r="I157" s="2"/>
      <c r="J157" s="6">
        <f t="shared" si="43"/>
        <v>0</v>
      </c>
      <c r="K157" s="2"/>
      <c r="L157" s="7">
        <f t="shared" si="44"/>
        <v>21477.03</v>
      </c>
      <c r="M157" s="2"/>
      <c r="N157" s="6">
        <f t="shared" si="45"/>
        <v>0</v>
      </c>
      <c r="O157" s="11"/>
      <c r="P157" s="7">
        <v>193293.27</v>
      </c>
      <c r="Q157" s="2"/>
      <c r="R157" s="6">
        <f t="shared" si="46"/>
        <v>4.5299632383144772E-2</v>
      </c>
      <c r="S157" s="2"/>
      <c r="T157" s="7"/>
      <c r="U157" s="2"/>
      <c r="V157" s="6">
        <f t="shared" si="47"/>
        <v>0</v>
      </c>
      <c r="W157" s="2"/>
      <c r="X157" s="7">
        <f t="shared" si="48"/>
        <v>193293.27</v>
      </c>
      <c r="Y157" s="2"/>
      <c r="Z157" s="6">
        <f t="shared" si="49"/>
        <v>0</v>
      </c>
    </row>
    <row r="158" spans="1:26" s="24" customFormat="1" hidden="1" outlineLevel="2" x14ac:dyDescent="0.25">
      <c r="A158" s="26"/>
      <c r="B158" s="11" t="str">
        <f>CONCATENATE("          ", "6322", " - ", "EQUIPMENT DEPRECIATION EXPENSE")</f>
        <v xml:space="preserve">          6322 - EQUIPMENT DEPRECIATION EXPENSE</v>
      </c>
      <c r="C158" s="11"/>
      <c r="D158" s="7">
        <v>18410.91</v>
      </c>
      <c r="E158" s="2"/>
      <c r="F158" s="6">
        <f t="shared" si="42"/>
        <v>0.10006189291221801</v>
      </c>
      <c r="G158" s="2"/>
      <c r="H158" s="7">
        <v>38857</v>
      </c>
      <c r="I158" s="2"/>
      <c r="J158" s="6">
        <f t="shared" si="43"/>
        <v>7.5504878271531531E-2</v>
      </c>
      <c r="K158" s="2"/>
      <c r="L158" s="7">
        <f t="shared" si="44"/>
        <v>-20446.09</v>
      </c>
      <c r="M158" s="2"/>
      <c r="N158" s="6">
        <f t="shared" si="45"/>
        <v>-0.52618807422086111</v>
      </c>
      <c r="O158" s="11"/>
      <c r="P158" s="7">
        <v>166174.96</v>
      </c>
      <c r="Q158" s="2"/>
      <c r="R158" s="6">
        <f t="shared" si="46"/>
        <v>3.8944266395223109E-2</v>
      </c>
      <c r="S158" s="2"/>
      <c r="T158" s="7">
        <v>351169</v>
      </c>
      <c r="U158" s="2"/>
      <c r="V158" s="6">
        <f t="shared" si="47"/>
        <v>4.2931523432203952E-2</v>
      </c>
      <c r="W158" s="2"/>
      <c r="X158" s="7">
        <f t="shared" si="48"/>
        <v>-184994.04</v>
      </c>
      <c r="Y158" s="2"/>
      <c r="Z158" s="6">
        <f t="shared" si="49"/>
        <v>-0.52679490501724247</v>
      </c>
    </row>
    <row r="159" spans="1:26" s="25" customFormat="1" outlineLevel="1" collapsed="1" x14ac:dyDescent="0.25">
      <c r="A159" s="27"/>
      <c r="B159" s="13" t="str">
        <f>CONCATENATE("     ","Discounts and Markdowns                           ")</f>
        <v xml:space="preserve">     Discounts and Markdowns                           </v>
      </c>
      <c r="C159" s="13"/>
      <c r="D159" s="1">
        <f>SUM(OSRRefD22_6x_0)</f>
        <v>0</v>
      </c>
      <c r="E159" s="1"/>
      <c r="F159" s="5">
        <f t="shared" ref="F159:F161" si="50">IF(D$12=0,0,D159/D$12)</f>
        <v>0</v>
      </c>
      <c r="G159" s="1"/>
      <c r="H159" s="1">
        <f>SUM(OSRRefH22_6x_0)</f>
        <v>28762</v>
      </c>
      <c r="I159" s="1"/>
      <c r="J159" s="5">
        <f t="shared" ref="J159:J161" si="51">IF(H$12=0,0,H159/H$12)</f>
        <v>5.5888805333550964E-2</v>
      </c>
      <c r="K159" s="1"/>
      <c r="L159" s="1">
        <f t="shared" ref="L159:L161" si="52">+D159-H159</f>
        <v>-28762</v>
      </c>
      <c r="M159" s="1"/>
      <c r="N159" s="5">
        <f t="shared" ref="N159:N161" si="53">IF(H159=0,0,L159/H159)</f>
        <v>-1</v>
      </c>
      <c r="O159" s="13"/>
      <c r="P159" s="1">
        <f>SUM(OSRRefP22_6x_0)</f>
        <v>0</v>
      </c>
      <c r="Q159" s="1"/>
      <c r="R159" s="5">
        <f t="shared" ref="R159:R161" si="54">IF(P$12=0,0,P159/P$12)</f>
        <v>0</v>
      </c>
      <c r="S159" s="1"/>
      <c r="T159" s="1">
        <f>SUM(OSRRefT22_6x_0)</f>
        <v>248620</v>
      </c>
      <c r="U159" s="1"/>
      <c r="V159" s="5">
        <f t="shared" ref="V159:V161" si="55">IF(T$12=0,0,T159/T$12)</f>
        <v>3.0394583108744072E-2</v>
      </c>
      <c r="W159" s="1"/>
      <c r="X159" s="1">
        <f t="shared" ref="X159:X161" si="56">+P159-T159</f>
        <v>-248620</v>
      </c>
      <c r="Y159" s="1"/>
      <c r="Z159" s="5">
        <f t="shared" ref="Z159:Z161" si="57">IF(T159=0,0,X159/T159)</f>
        <v>-1</v>
      </c>
    </row>
    <row r="160" spans="1:26" s="24" customFormat="1" hidden="1" outlineLevel="2" x14ac:dyDescent="0.25">
      <c r="A160" s="26"/>
      <c r="B160" s="11" t="str">
        <f>CONCATENATE("          ", "6382", " - ", "DISCOUNTS/MARK DOWNS")</f>
        <v xml:space="preserve">          6382 - DISCOUNTS/MARK DOWNS</v>
      </c>
      <c r="C160" s="11"/>
      <c r="D160" s="7">
        <v>0</v>
      </c>
      <c r="E160" s="2"/>
      <c r="F160" s="6">
        <f t="shared" si="50"/>
        <v>0</v>
      </c>
      <c r="G160" s="2"/>
      <c r="H160" s="7">
        <v>28762</v>
      </c>
      <c r="I160" s="2"/>
      <c r="J160" s="6">
        <f t="shared" si="51"/>
        <v>5.5888805333550964E-2</v>
      </c>
      <c r="K160" s="2"/>
      <c r="L160" s="7">
        <f t="shared" si="52"/>
        <v>-28762</v>
      </c>
      <c r="M160" s="2"/>
      <c r="N160" s="6">
        <f t="shared" si="53"/>
        <v>-1</v>
      </c>
      <c r="O160" s="11"/>
      <c r="P160" s="7">
        <v>0</v>
      </c>
      <c r="Q160" s="2"/>
      <c r="R160" s="6">
        <f t="shared" si="54"/>
        <v>0</v>
      </c>
      <c r="S160" s="2"/>
      <c r="T160" s="7">
        <v>248620</v>
      </c>
      <c r="U160" s="2"/>
      <c r="V160" s="6">
        <f t="shared" si="55"/>
        <v>3.0394583108744072E-2</v>
      </c>
      <c r="W160" s="2"/>
      <c r="X160" s="7">
        <f t="shared" si="56"/>
        <v>-248620</v>
      </c>
      <c r="Y160" s="2"/>
      <c r="Z160" s="6">
        <f t="shared" si="57"/>
        <v>-1</v>
      </c>
    </row>
    <row r="161" spans="1:26" s="24" customFormat="1" hidden="1" outlineLevel="2" x14ac:dyDescent="0.25">
      <c r="A161" s="26"/>
      <c r="B161" s="11" t="str">
        <f>CONCATENATE("          ", "9175", " - ", "EARNED DISCOUNTS")</f>
        <v xml:space="preserve">          9175 - EARNED DISCOUNTS</v>
      </c>
      <c r="C161" s="11"/>
      <c r="D161" s="7">
        <v>0</v>
      </c>
      <c r="E161" s="2"/>
      <c r="F161" s="6">
        <f t="shared" si="50"/>
        <v>0</v>
      </c>
      <c r="G161" s="2"/>
      <c r="H161" s="7"/>
      <c r="I161" s="2"/>
      <c r="J161" s="6">
        <f t="shared" si="51"/>
        <v>0</v>
      </c>
      <c r="K161" s="2"/>
      <c r="L161" s="7">
        <f t="shared" si="52"/>
        <v>0</v>
      </c>
      <c r="M161" s="2"/>
      <c r="N161" s="6">
        <f t="shared" si="53"/>
        <v>0</v>
      </c>
      <c r="O161" s="11"/>
      <c r="P161" s="7">
        <v>0</v>
      </c>
      <c r="Q161" s="2"/>
      <c r="R161" s="6">
        <f t="shared" si="54"/>
        <v>0</v>
      </c>
      <c r="S161" s="2"/>
      <c r="T161" s="7"/>
      <c r="U161" s="2"/>
      <c r="V161" s="6">
        <f t="shared" si="55"/>
        <v>0</v>
      </c>
      <c r="W161" s="2"/>
      <c r="X161" s="7">
        <f t="shared" si="56"/>
        <v>0</v>
      </c>
      <c r="Y161" s="2"/>
      <c r="Z161" s="6">
        <f t="shared" si="57"/>
        <v>0</v>
      </c>
    </row>
    <row r="162" spans="1:26" s="25" customFormat="1" outlineLevel="1" collapsed="1" x14ac:dyDescent="0.25">
      <c r="A162" s="27"/>
      <c r="B162" s="13" t="str">
        <f>CONCATENATE("     ","Donations                                         ")</f>
        <v xml:space="preserve">     Donations                                         </v>
      </c>
      <c r="C162" s="13"/>
      <c r="D162" s="1">
        <f>SUM(OSRRefD22_7x_0)</f>
        <v>0</v>
      </c>
      <c r="E162" s="1"/>
      <c r="F162" s="5">
        <f t="shared" ref="F162:F164" si="58">IF(D$12=0,0,D162/D$12)</f>
        <v>0</v>
      </c>
      <c r="G162" s="1"/>
      <c r="H162" s="1">
        <f>SUM(OSRRefH22_7x_0)</f>
        <v>1000</v>
      </c>
      <c r="I162" s="1"/>
      <c r="J162" s="5">
        <f t="shared" ref="J162:J164" si="59">IF(H$12=0,0,H162/H$12)</f>
        <v>1.9431473935592437E-3</v>
      </c>
      <c r="K162" s="1"/>
      <c r="L162" s="1">
        <f t="shared" ref="L162:L164" si="60">+D162-H162</f>
        <v>-1000</v>
      </c>
      <c r="M162" s="1"/>
      <c r="N162" s="5">
        <f t="shared" ref="N162:N164" si="61">IF(H162=0,0,L162/H162)</f>
        <v>-1</v>
      </c>
      <c r="O162" s="13"/>
      <c r="P162" s="1">
        <f>SUM(OSRRefP22_7x_0)</f>
        <v>0</v>
      </c>
      <c r="Q162" s="1"/>
      <c r="R162" s="5">
        <f t="shared" ref="R162:R164" si="62">IF(P$12=0,0,P162/P$12)</f>
        <v>0</v>
      </c>
      <c r="S162" s="1"/>
      <c r="T162" s="1">
        <f>SUM(OSRRefT22_7x_0)</f>
        <v>9000</v>
      </c>
      <c r="U162" s="1"/>
      <c r="V162" s="5">
        <f t="shared" ref="V162:V164" si="63">IF(T$12=0,0,T162/T$12)</f>
        <v>1.1002785293970584E-3</v>
      </c>
      <c r="W162" s="1"/>
      <c r="X162" s="1">
        <f t="shared" ref="X162:X164" si="64">+P162-T162</f>
        <v>-9000</v>
      </c>
      <c r="Y162" s="1"/>
      <c r="Z162" s="5">
        <f t="shared" ref="Z162:Z164" si="65">IF(T162=0,0,X162/T162)</f>
        <v>-1</v>
      </c>
    </row>
    <row r="163" spans="1:26" s="24" customFormat="1" hidden="1" outlineLevel="2" x14ac:dyDescent="0.25">
      <c r="A163" s="26"/>
      <c r="B163" s="11" t="str">
        <f>CONCATENATE("          ", "6395", " - ", "DONATION-OFF CAMPUS")</f>
        <v xml:space="preserve">          6395 - DONATION-OFF CAMPUS</v>
      </c>
      <c r="C163" s="11"/>
      <c r="D163" s="7"/>
      <c r="E163" s="2"/>
      <c r="F163" s="6">
        <f t="shared" si="58"/>
        <v>0</v>
      </c>
      <c r="G163" s="2"/>
      <c r="H163" s="7"/>
      <c r="I163" s="2"/>
      <c r="J163" s="6">
        <f t="shared" si="59"/>
        <v>0</v>
      </c>
      <c r="K163" s="2"/>
      <c r="L163" s="7">
        <f t="shared" si="60"/>
        <v>0</v>
      </c>
      <c r="M163" s="2"/>
      <c r="N163" s="6">
        <f t="shared" si="61"/>
        <v>0</v>
      </c>
      <c r="O163" s="11"/>
      <c r="P163" s="7"/>
      <c r="Q163" s="2"/>
      <c r="R163" s="6">
        <f t="shared" si="62"/>
        <v>0</v>
      </c>
      <c r="S163" s="2"/>
      <c r="T163" s="7">
        <v>0</v>
      </c>
      <c r="U163" s="2"/>
      <c r="V163" s="6">
        <f t="shared" si="63"/>
        <v>0</v>
      </c>
      <c r="W163" s="2"/>
      <c r="X163" s="7">
        <f t="shared" si="64"/>
        <v>0</v>
      </c>
      <c r="Y163" s="2"/>
      <c r="Z163" s="6">
        <f t="shared" si="65"/>
        <v>0</v>
      </c>
    </row>
    <row r="164" spans="1:26" s="24" customFormat="1" hidden="1" outlineLevel="2" x14ac:dyDescent="0.25">
      <c r="A164" s="26"/>
      <c r="B164" s="11" t="str">
        <f>CONCATENATE("          ", "6399", " - ", "DONATION-ON CAMPUS")</f>
        <v xml:space="preserve">          6399 - DONATION-ON CAMPUS</v>
      </c>
      <c r="C164" s="11"/>
      <c r="D164" s="7"/>
      <c r="E164" s="2"/>
      <c r="F164" s="6">
        <f t="shared" si="58"/>
        <v>0</v>
      </c>
      <c r="G164" s="2"/>
      <c r="H164" s="7">
        <v>1000</v>
      </c>
      <c r="I164" s="2"/>
      <c r="J164" s="6">
        <f t="shared" si="59"/>
        <v>1.9431473935592437E-3</v>
      </c>
      <c r="K164" s="2"/>
      <c r="L164" s="7">
        <f t="shared" si="60"/>
        <v>-1000</v>
      </c>
      <c r="M164" s="2"/>
      <c r="N164" s="6">
        <f t="shared" si="61"/>
        <v>-1</v>
      </c>
      <c r="O164" s="11"/>
      <c r="P164" s="7"/>
      <c r="Q164" s="2"/>
      <c r="R164" s="6">
        <f t="shared" si="62"/>
        <v>0</v>
      </c>
      <c r="S164" s="2"/>
      <c r="T164" s="7">
        <v>9000</v>
      </c>
      <c r="U164" s="2"/>
      <c r="V164" s="6">
        <f t="shared" si="63"/>
        <v>1.1002785293970584E-3</v>
      </c>
      <c r="W164" s="2"/>
      <c r="X164" s="7">
        <f t="shared" si="64"/>
        <v>-9000</v>
      </c>
      <c r="Y164" s="2"/>
      <c r="Z164" s="6">
        <f t="shared" si="65"/>
        <v>-1</v>
      </c>
    </row>
    <row r="165" spans="1:26" s="25" customFormat="1" outlineLevel="1" collapsed="1" x14ac:dyDescent="0.25">
      <c r="A165" s="27"/>
      <c r="B165" s="13" t="str">
        <f>CONCATENATE("     ","Employees' Appreciation                           ")</f>
        <v xml:space="preserve">     Employees' Appreciation                           </v>
      </c>
      <c r="C165" s="13"/>
      <c r="D165" s="1">
        <f>SUM(OSRRefD22_8x_0)</f>
        <v>0</v>
      </c>
      <c r="E165" s="1"/>
      <c r="F165" s="5">
        <f t="shared" ref="F165:F171" si="66">IF(D$12=0,0,D165/D$12)</f>
        <v>0</v>
      </c>
      <c r="G165" s="1"/>
      <c r="H165" s="1">
        <f>SUM(OSRRefH22_8x_0)</f>
        <v>400</v>
      </c>
      <c r="I165" s="1"/>
      <c r="J165" s="5">
        <f t="shared" ref="J165:J171" si="67">IF(H$12=0,0,H165/H$12)</f>
        <v>7.7725895742369747E-4</v>
      </c>
      <c r="K165" s="1"/>
      <c r="L165" s="1">
        <f t="shared" ref="L165:L171" si="68">+D165-H165</f>
        <v>-400</v>
      </c>
      <c r="M165" s="1"/>
      <c r="N165" s="5">
        <f t="shared" ref="N165:N171" si="69">IF(H165=0,0,L165/H165)</f>
        <v>-1</v>
      </c>
      <c r="O165" s="13"/>
      <c r="P165" s="1">
        <f>SUM(OSRRefP22_8x_0)</f>
        <v>186.03</v>
      </c>
      <c r="Q165" s="1"/>
      <c r="R165" s="5">
        <f t="shared" ref="R165:R171" si="70">IF(P$12=0,0,P165/P$12)</f>
        <v>4.3597434159173893E-5</v>
      </c>
      <c r="S165" s="1"/>
      <c r="T165" s="1">
        <f>SUM(OSRRefT22_8x_0)</f>
        <v>3750</v>
      </c>
      <c r="U165" s="1"/>
      <c r="V165" s="5">
        <f t="shared" ref="V165:V171" si="71">IF(T$12=0,0,T165/T$12)</f>
        <v>4.5844938724877432E-4</v>
      </c>
      <c r="W165" s="1"/>
      <c r="X165" s="1">
        <f t="shared" ref="X165:X171" si="72">+P165-T165</f>
        <v>-3563.97</v>
      </c>
      <c r="Y165" s="1"/>
      <c r="Z165" s="5">
        <f t="shared" ref="Z165:Z171" si="73">IF(T165=0,0,X165/T165)</f>
        <v>-0.9503919999999999</v>
      </c>
    </row>
    <row r="166" spans="1:26" s="24" customFormat="1" hidden="1" outlineLevel="2" x14ac:dyDescent="0.25">
      <c r="A166" s="26"/>
      <c r="B166" s="11" t="str">
        <f>CONCATENATE("          ", "6277", " - ", "EMPLOYEE APPRECIATION")</f>
        <v xml:space="preserve">          6277 - EMPLOYEE APPRECIATION</v>
      </c>
      <c r="C166" s="11"/>
      <c r="D166" s="7"/>
      <c r="E166" s="2"/>
      <c r="F166" s="6">
        <f t="shared" si="66"/>
        <v>0</v>
      </c>
      <c r="G166" s="2"/>
      <c r="H166" s="7">
        <v>400</v>
      </c>
      <c r="I166" s="2"/>
      <c r="J166" s="6">
        <f t="shared" si="67"/>
        <v>7.7725895742369747E-4</v>
      </c>
      <c r="K166" s="2"/>
      <c r="L166" s="7">
        <f t="shared" si="68"/>
        <v>-400</v>
      </c>
      <c r="M166" s="2"/>
      <c r="N166" s="6">
        <f t="shared" si="69"/>
        <v>-1</v>
      </c>
      <c r="O166" s="11"/>
      <c r="P166" s="7">
        <v>186.03</v>
      </c>
      <c r="Q166" s="2"/>
      <c r="R166" s="6">
        <f t="shared" si="70"/>
        <v>4.3597434159173893E-5</v>
      </c>
      <c r="S166" s="2"/>
      <c r="T166" s="7">
        <v>3750</v>
      </c>
      <c r="U166" s="2"/>
      <c r="V166" s="6">
        <f t="shared" si="71"/>
        <v>4.5844938724877432E-4</v>
      </c>
      <c r="W166" s="2"/>
      <c r="X166" s="7">
        <f t="shared" si="72"/>
        <v>-3563.97</v>
      </c>
      <c r="Y166" s="2"/>
      <c r="Z166" s="6">
        <f t="shared" si="73"/>
        <v>-0.9503919999999999</v>
      </c>
    </row>
    <row r="167" spans="1:26" s="25" customFormat="1" outlineLevel="1" collapsed="1" x14ac:dyDescent="0.25">
      <c r="A167" s="27"/>
      <c r="B167" s="13" t="str">
        <f>CONCATENATE("     ","Equipment Rental                                  ")</f>
        <v xml:space="preserve">     Equipment Rental                                  </v>
      </c>
      <c r="C167" s="13"/>
      <c r="D167" s="1">
        <f>SUM(OSRRefD22_9x_0)</f>
        <v>1296.9000000000001</v>
      </c>
      <c r="E167" s="1"/>
      <c r="F167" s="5">
        <f t="shared" si="66"/>
        <v>7.0485526743575165E-3</v>
      </c>
      <c r="G167" s="1"/>
      <c r="H167" s="1">
        <f>SUM(OSRRefH22_9x_0)</f>
        <v>3152</v>
      </c>
      <c r="I167" s="1"/>
      <c r="J167" s="5">
        <f t="shared" si="67"/>
        <v>6.1248005844987356E-3</v>
      </c>
      <c r="K167" s="1"/>
      <c r="L167" s="1">
        <f t="shared" si="68"/>
        <v>-1855.1</v>
      </c>
      <c r="M167" s="1"/>
      <c r="N167" s="5">
        <f t="shared" si="69"/>
        <v>-0.58854695431472082</v>
      </c>
      <c r="O167" s="13"/>
      <c r="P167" s="1">
        <f>SUM(OSRRefP22_9x_0)</f>
        <v>13886.96</v>
      </c>
      <c r="Q167" s="1"/>
      <c r="R167" s="5">
        <f t="shared" si="70"/>
        <v>3.2545063928994325E-3</v>
      </c>
      <c r="S167" s="1"/>
      <c r="T167" s="1">
        <f>SUM(OSRRefT22_9x_0)</f>
        <v>27930</v>
      </c>
      <c r="U167" s="1"/>
      <c r="V167" s="5">
        <f t="shared" si="71"/>
        <v>3.4145310362288712E-3</v>
      </c>
      <c r="W167" s="1"/>
      <c r="X167" s="1">
        <f t="shared" si="72"/>
        <v>-14043.04</v>
      </c>
      <c r="Y167" s="1"/>
      <c r="Z167" s="5">
        <f t="shared" si="73"/>
        <v>-0.50279412817758684</v>
      </c>
    </row>
    <row r="168" spans="1:26" s="24" customFormat="1" hidden="1" outlineLevel="2" x14ac:dyDescent="0.25">
      <c r="A168" s="26"/>
      <c r="B168" s="11" t="str">
        <f>CONCATENATE("          ", "6351", " - ", "EQUIPMENT RENTAL")</f>
        <v xml:space="preserve">          6351 - EQUIPMENT RENTAL</v>
      </c>
      <c r="C168" s="11"/>
      <c r="D168" s="7">
        <v>1296.9000000000001</v>
      </c>
      <c r="E168" s="2"/>
      <c r="F168" s="6">
        <f t="shared" si="66"/>
        <v>7.0485526743575165E-3</v>
      </c>
      <c r="G168" s="2"/>
      <c r="H168" s="7">
        <v>3152</v>
      </c>
      <c r="I168" s="2"/>
      <c r="J168" s="6">
        <f t="shared" si="67"/>
        <v>6.1248005844987356E-3</v>
      </c>
      <c r="K168" s="2"/>
      <c r="L168" s="7">
        <f t="shared" si="68"/>
        <v>-1855.1</v>
      </c>
      <c r="M168" s="2"/>
      <c r="N168" s="6">
        <f t="shared" si="69"/>
        <v>-0.58854695431472082</v>
      </c>
      <c r="O168" s="11"/>
      <c r="P168" s="7">
        <v>13886.96</v>
      </c>
      <c r="Q168" s="2"/>
      <c r="R168" s="6">
        <f t="shared" si="70"/>
        <v>3.2545063928994325E-3</v>
      </c>
      <c r="S168" s="2"/>
      <c r="T168" s="7">
        <v>27930</v>
      </c>
      <c r="U168" s="2"/>
      <c r="V168" s="6">
        <f t="shared" si="71"/>
        <v>3.4145310362288712E-3</v>
      </c>
      <c r="W168" s="2"/>
      <c r="X168" s="7">
        <f t="shared" si="72"/>
        <v>-14043.04</v>
      </c>
      <c r="Y168" s="2"/>
      <c r="Z168" s="6">
        <f t="shared" si="73"/>
        <v>-0.50279412817758684</v>
      </c>
    </row>
    <row r="169" spans="1:26" s="25" customFormat="1" outlineLevel="1" collapsed="1" x14ac:dyDescent="0.25">
      <c r="A169" s="27"/>
      <c r="B169" s="13" t="str">
        <f>CONCATENATE("     ","Freight out/Postage                               ")</f>
        <v xml:space="preserve">     Freight out/Postage                               </v>
      </c>
      <c r="C169" s="13"/>
      <c r="D169" s="1">
        <f>SUM(OSRRefD22_10x_0)</f>
        <v>-1810.8199999999997</v>
      </c>
      <c r="E169" s="1"/>
      <c r="F169" s="5">
        <f t="shared" si="66"/>
        <v>-9.8416687129154728E-3</v>
      </c>
      <c r="G169" s="1"/>
      <c r="H169" s="1">
        <f>SUM(OSRRefH22_10x_0)</f>
        <v>-12732</v>
      </c>
      <c r="I169" s="1"/>
      <c r="J169" s="5">
        <f t="shared" si="67"/>
        <v>-2.4740152614796292E-2</v>
      </c>
      <c r="K169" s="1"/>
      <c r="L169" s="1">
        <f t="shared" si="68"/>
        <v>10921.18</v>
      </c>
      <c r="M169" s="1"/>
      <c r="N169" s="5">
        <f t="shared" si="69"/>
        <v>-0.85777411247251023</v>
      </c>
      <c r="O169" s="13"/>
      <c r="P169" s="1">
        <f>SUM(OSRRefP22_10x_0)</f>
        <v>-34256.830000000016</v>
      </c>
      <c r="Q169" s="1"/>
      <c r="R169" s="5">
        <f t="shared" si="70"/>
        <v>-8.0283281751707455E-3</v>
      </c>
      <c r="S169" s="1"/>
      <c r="T169" s="1">
        <f>SUM(OSRRefT22_10x_0)</f>
        <v>33621</v>
      </c>
      <c r="U169" s="1"/>
      <c r="V169" s="5">
        <f t="shared" si="71"/>
        <v>4.1102738263176109E-3</v>
      </c>
      <c r="W169" s="1"/>
      <c r="X169" s="1">
        <f t="shared" si="72"/>
        <v>-67877.830000000016</v>
      </c>
      <c r="Y169" s="1"/>
      <c r="Z169" s="5">
        <f t="shared" si="73"/>
        <v>-2.0189116920972014</v>
      </c>
    </row>
    <row r="170" spans="1:26" s="24" customFormat="1" hidden="1" outlineLevel="2" x14ac:dyDescent="0.25">
      <c r="A170" s="26"/>
      <c r="B170" s="11" t="str">
        <f>CONCATENATE("          ", "6305", " - ", "FREIGHT OUT")</f>
        <v xml:space="preserve">          6305 - FREIGHT OUT</v>
      </c>
      <c r="C170" s="11"/>
      <c r="D170" s="7">
        <v>17608.5</v>
      </c>
      <c r="E170" s="2"/>
      <c r="F170" s="6">
        <f t="shared" si="66"/>
        <v>9.5700855707012353E-2</v>
      </c>
      <c r="G170" s="2"/>
      <c r="H170" s="7">
        <v>7248</v>
      </c>
      <c r="I170" s="2"/>
      <c r="J170" s="6">
        <f t="shared" si="67"/>
        <v>1.4083932308517398E-2</v>
      </c>
      <c r="K170" s="2"/>
      <c r="L170" s="7">
        <f t="shared" si="68"/>
        <v>10360.5</v>
      </c>
      <c r="M170" s="2"/>
      <c r="N170" s="6">
        <f t="shared" si="69"/>
        <v>1.4294288079470199</v>
      </c>
      <c r="O170" s="11"/>
      <c r="P170" s="7">
        <v>179483.61</v>
      </c>
      <c r="Q170" s="2"/>
      <c r="R170" s="6">
        <f t="shared" si="70"/>
        <v>4.2063241786947501E-2</v>
      </c>
      <c r="S170" s="2"/>
      <c r="T170" s="7">
        <v>55891</v>
      </c>
      <c r="U170" s="2"/>
      <c r="V170" s="6">
        <f t="shared" si="71"/>
        <v>6.8328519207256659E-3</v>
      </c>
      <c r="W170" s="2"/>
      <c r="X170" s="7">
        <f t="shared" si="72"/>
        <v>123592.60999999999</v>
      </c>
      <c r="Y170" s="2"/>
      <c r="Z170" s="6">
        <f t="shared" si="73"/>
        <v>2.211315059669714</v>
      </c>
    </row>
    <row r="171" spans="1:26" s="24" customFormat="1" hidden="1" outlineLevel="2" x14ac:dyDescent="0.25">
      <c r="A171" s="26"/>
      <c r="B171" s="11" t="str">
        <f>CONCATENATE("          ", "6307", " - ", "POSTAGE")</f>
        <v xml:space="preserve">          6307 - POSTAGE</v>
      </c>
      <c r="C171" s="11"/>
      <c r="D171" s="7">
        <v>-19419.32</v>
      </c>
      <c r="E171" s="2"/>
      <c r="F171" s="6">
        <f t="shared" si="66"/>
        <v>-0.10554252441992783</v>
      </c>
      <c r="G171" s="2"/>
      <c r="H171" s="7">
        <v>-19980</v>
      </c>
      <c r="I171" s="2"/>
      <c r="J171" s="6">
        <f t="shared" si="67"/>
        <v>-3.8824084923313691E-2</v>
      </c>
      <c r="K171" s="2"/>
      <c r="L171" s="7">
        <f t="shared" si="68"/>
        <v>560.68000000000029</v>
      </c>
      <c r="M171" s="2"/>
      <c r="N171" s="6">
        <f t="shared" si="69"/>
        <v>-2.8062062062062076E-2</v>
      </c>
      <c r="O171" s="11"/>
      <c r="P171" s="7">
        <v>-213740.44</v>
      </c>
      <c r="Q171" s="2"/>
      <c r="R171" s="6">
        <f t="shared" si="70"/>
        <v>-5.0091569962118249E-2</v>
      </c>
      <c r="S171" s="2"/>
      <c r="T171" s="7">
        <v>-22270</v>
      </c>
      <c r="U171" s="2"/>
      <c r="V171" s="6">
        <f t="shared" si="71"/>
        <v>-2.7225780944080545E-3</v>
      </c>
      <c r="W171" s="2"/>
      <c r="X171" s="7">
        <f t="shared" si="72"/>
        <v>-191470.44</v>
      </c>
      <c r="Y171" s="2"/>
      <c r="Z171" s="6">
        <f t="shared" si="73"/>
        <v>8.5976847777278849</v>
      </c>
    </row>
    <row r="172" spans="1:26" s="25" customFormat="1" outlineLevel="1" collapsed="1" x14ac:dyDescent="0.25">
      <c r="A172" s="27"/>
      <c r="B172" s="13" t="str">
        <f>CONCATENATE("     ","General                                           ")</f>
        <v xml:space="preserve">     General                                           </v>
      </c>
      <c r="C172" s="13"/>
      <c r="D172" s="1">
        <f>SUM(OSRRefD22_11x_0)</f>
        <v>646.37</v>
      </c>
      <c r="E172" s="1"/>
      <c r="F172" s="5">
        <f t="shared" ref="F172:F175" si="74">IF(D$12=0,0,D172/D$12)</f>
        <v>3.5129716956777452E-3</v>
      </c>
      <c r="G172" s="1"/>
      <c r="H172" s="1">
        <f>SUM(OSRRefH22_11x_0)</f>
        <v>550</v>
      </c>
      <c r="I172" s="1"/>
      <c r="J172" s="5">
        <f t="shared" ref="J172:J175" si="75">IF(H$12=0,0,H172/H$12)</f>
        <v>1.0687310664575841E-3</v>
      </c>
      <c r="K172" s="1"/>
      <c r="L172" s="1">
        <f t="shared" ref="L172:L175" si="76">+D172-H172</f>
        <v>96.37</v>
      </c>
      <c r="M172" s="1"/>
      <c r="N172" s="5">
        <f t="shared" ref="N172:N175" si="77">IF(H172=0,0,L172/H172)</f>
        <v>0.17521818181818183</v>
      </c>
      <c r="O172" s="13"/>
      <c r="P172" s="1">
        <f>SUM(OSRRefP22_11x_0)</f>
        <v>5944.65</v>
      </c>
      <c r="Q172" s="1"/>
      <c r="R172" s="5">
        <f t="shared" ref="R172:R175" si="78">IF(P$12=0,0,P172/P$12)</f>
        <v>1.3931703863588295E-3</v>
      </c>
      <c r="S172" s="1"/>
      <c r="T172" s="1">
        <f>SUM(OSRRefT22_11x_0)</f>
        <v>12400</v>
      </c>
      <c r="U172" s="1"/>
      <c r="V172" s="5">
        <f t="shared" ref="V172:V175" si="79">IF(T$12=0,0,T172/T$12)</f>
        <v>1.5159393071692805E-3</v>
      </c>
      <c r="W172" s="1"/>
      <c r="X172" s="1">
        <f t="shared" ref="X172:X175" si="80">+P172-T172</f>
        <v>-6455.35</v>
      </c>
      <c r="Y172" s="1"/>
      <c r="Z172" s="5">
        <f t="shared" ref="Z172:Z175" si="81">IF(T172=0,0,X172/T172)</f>
        <v>-0.52059274193548388</v>
      </c>
    </row>
    <row r="173" spans="1:26" s="24" customFormat="1" hidden="1" outlineLevel="2" x14ac:dyDescent="0.25">
      <c r="A173" s="26"/>
      <c r="B173" s="11" t="str">
        <f>CONCATENATE("          ", "6269", " - ", "ENTERTAINMENT")</f>
        <v xml:space="preserve">          6269 - ENTERTAINMENT</v>
      </c>
      <c r="C173" s="11"/>
      <c r="D173" s="7"/>
      <c r="E173" s="2"/>
      <c r="F173" s="6">
        <f t="shared" si="74"/>
        <v>0</v>
      </c>
      <c r="G173" s="2"/>
      <c r="H173" s="7">
        <v>0</v>
      </c>
      <c r="I173" s="2"/>
      <c r="J173" s="6">
        <f t="shared" si="75"/>
        <v>0</v>
      </c>
      <c r="K173" s="2"/>
      <c r="L173" s="7">
        <f t="shared" si="76"/>
        <v>0</v>
      </c>
      <c r="M173" s="2"/>
      <c r="N173" s="6">
        <f t="shared" si="77"/>
        <v>0</v>
      </c>
      <c r="O173" s="11"/>
      <c r="P173" s="7"/>
      <c r="Q173" s="2"/>
      <c r="R173" s="6">
        <f t="shared" si="78"/>
        <v>0</v>
      </c>
      <c r="S173" s="2"/>
      <c r="T173" s="7">
        <v>1500</v>
      </c>
      <c r="U173" s="2"/>
      <c r="V173" s="6">
        <f t="shared" si="79"/>
        <v>1.8337975489950972E-4</v>
      </c>
      <c r="W173" s="2"/>
      <c r="X173" s="7">
        <f t="shared" si="80"/>
        <v>-1500</v>
      </c>
      <c r="Y173" s="2"/>
      <c r="Z173" s="6">
        <f t="shared" si="81"/>
        <v>-1</v>
      </c>
    </row>
    <row r="174" spans="1:26" s="24" customFormat="1" hidden="1" outlineLevel="2" x14ac:dyDescent="0.25">
      <c r="A174" s="26"/>
      <c r="B174" s="11" t="str">
        <f>CONCATENATE("          ", "6276", " - ", "PROPERTY TAX")</f>
        <v xml:space="preserve">          6276 - PROPERTY TAX</v>
      </c>
      <c r="C174" s="11"/>
      <c r="D174" s="7"/>
      <c r="E174" s="2"/>
      <c r="F174" s="6">
        <f t="shared" si="74"/>
        <v>0</v>
      </c>
      <c r="G174" s="2"/>
      <c r="H174" s="7"/>
      <c r="I174" s="2"/>
      <c r="J174" s="6">
        <f t="shared" si="75"/>
        <v>0</v>
      </c>
      <c r="K174" s="2"/>
      <c r="L174" s="7">
        <f t="shared" si="76"/>
        <v>0</v>
      </c>
      <c r="M174" s="2"/>
      <c r="N174" s="6">
        <f t="shared" si="77"/>
        <v>0</v>
      </c>
      <c r="O174" s="11"/>
      <c r="P174" s="7"/>
      <c r="Q174" s="2"/>
      <c r="R174" s="6">
        <f t="shared" si="78"/>
        <v>0</v>
      </c>
      <c r="S174" s="2"/>
      <c r="T174" s="7">
        <v>150</v>
      </c>
      <c r="U174" s="2"/>
      <c r="V174" s="6">
        <f t="shared" si="79"/>
        <v>1.8337975489950973E-5</v>
      </c>
      <c r="W174" s="2"/>
      <c r="X174" s="7">
        <f t="shared" si="80"/>
        <v>-150</v>
      </c>
      <c r="Y174" s="2"/>
      <c r="Z174" s="6">
        <f t="shared" si="81"/>
        <v>-1</v>
      </c>
    </row>
    <row r="175" spans="1:26" s="24" customFormat="1" hidden="1" outlineLevel="2" x14ac:dyDescent="0.25">
      <c r="A175" s="26"/>
      <c r="B175" s="11" t="str">
        <f>CONCATENATE("          ", "6279", " - ", "GENERAL EXPENSE")</f>
        <v xml:space="preserve">          6279 - GENERAL EXPENSE</v>
      </c>
      <c r="C175" s="11"/>
      <c r="D175" s="7">
        <v>646.37</v>
      </c>
      <c r="E175" s="2"/>
      <c r="F175" s="6">
        <f t="shared" si="74"/>
        <v>3.5129716956777452E-3</v>
      </c>
      <c r="G175" s="2"/>
      <c r="H175" s="7">
        <v>550</v>
      </c>
      <c r="I175" s="2"/>
      <c r="J175" s="6">
        <f t="shared" si="75"/>
        <v>1.0687310664575841E-3</v>
      </c>
      <c r="K175" s="2"/>
      <c r="L175" s="7">
        <f t="shared" si="76"/>
        <v>96.37</v>
      </c>
      <c r="M175" s="2"/>
      <c r="N175" s="6">
        <f t="shared" si="77"/>
        <v>0.17521818181818183</v>
      </c>
      <c r="O175" s="11"/>
      <c r="P175" s="7">
        <v>5944.65</v>
      </c>
      <c r="Q175" s="2"/>
      <c r="R175" s="6">
        <f t="shared" si="78"/>
        <v>1.3931703863588295E-3</v>
      </c>
      <c r="S175" s="2"/>
      <c r="T175" s="7">
        <v>10750</v>
      </c>
      <c r="U175" s="2"/>
      <c r="V175" s="6">
        <f t="shared" si="79"/>
        <v>1.3142215767798196E-3</v>
      </c>
      <c r="W175" s="2"/>
      <c r="X175" s="7">
        <f t="shared" si="80"/>
        <v>-4805.3500000000004</v>
      </c>
      <c r="Y175" s="2"/>
      <c r="Z175" s="6">
        <f t="shared" si="81"/>
        <v>-0.44700930232558145</v>
      </c>
    </row>
    <row r="176" spans="1:26" s="25" customFormat="1" outlineLevel="1" collapsed="1" x14ac:dyDescent="0.25">
      <c r="A176" s="27"/>
      <c r="B176" s="13" t="str">
        <f>CONCATENATE("     ","Insurance                                         ")</f>
        <v xml:space="preserve">     Insurance                                         </v>
      </c>
      <c r="C176" s="13"/>
      <c r="D176" s="1">
        <f>SUM(OSRRefD22_12x_0)</f>
        <v>4288.28</v>
      </c>
      <c r="E176" s="1"/>
      <c r="F176" s="5">
        <f t="shared" ref="F176:F182" si="82">IF(D$12=0,0,D176/D$12)</f>
        <v>2.3306475026905582E-2</v>
      </c>
      <c r="G176" s="1"/>
      <c r="H176" s="1">
        <f>SUM(OSRRefH22_12x_0)</f>
        <v>4716</v>
      </c>
      <c r="I176" s="1"/>
      <c r="J176" s="5">
        <f t="shared" ref="J176:J182" si="83">IF(H$12=0,0,H176/H$12)</f>
        <v>9.1638831080253936E-3</v>
      </c>
      <c r="K176" s="1"/>
      <c r="L176" s="1">
        <f t="shared" ref="L176:L182" si="84">+D176-H176</f>
        <v>-427.72000000000025</v>
      </c>
      <c r="M176" s="1"/>
      <c r="N176" s="5">
        <f t="shared" ref="N176:N182" si="85">IF(H176=0,0,L176/H176)</f>
        <v>-9.0695504664970367E-2</v>
      </c>
      <c r="O176" s="13"/>
      <c r="P176" s="1">
        <f>SUM(OSRRefP22_12x_0)</f>
        <v>38594.519999999997</v>
      </c>
      <c r="Q176" s="1"/>
      <c r="R176" s="5">
        <f t="shared" ref="R176:R182" si="86">IF(P$12=0,0,P176/P$12)</f>
        <v>9.0448962242913496E-3</v>
      </c>
      <c r="S176" s="1"/>
      <c r="T176" s="1">
        <f>SUM(OSRRefT22_12x_0)</f>
        <v>42444</v>
      </c>
      <c r="U176" s="1"/>
      <c r="V176" s="5">
        <f t="shared" ref="V176:V182" si="87">IF(T$12=0,0,T176/T$12)</f>
        <v>5.1889135446365276E-3</v>
      </c>
      <c r="W176" s="1"/>
      <c r="X176" s="1">
        <f t="shared" ref="X176:X182" si="88">+P176-T176</f>
        <v>-3849.4800000000032</v>
      </c>
      <c r="Y176" s="1"/>
      <c r="Z176" s="5">
        <f t="shared" ref="Z176:Z182" si="89">IF(T176=0,0,X176/T176)</f>
        <v>-9.0695504664970394E-2</v>
      </c>
    </row>
    <row r="177" spans="1:26" s="24" customFormat="1" hidden="1" outlineLevel="2" x14ac:dyDescent="0.25">
      <c r="A177" s="26"/>
      <c r="B177" s="11" t="str">
        <f>CONCATENATE("          ", "6314", " - ", "LIABILITY INSURANCE")</f>
        <v xml:space="preserve">          6314 - LIABILITY INSURANCE</v>
      </c>
      <c r="C177" s="11"/>
      <c r="D177" s="7">
        <v>4288.28</v>
      </c>
      <c r="E177" s="2"/>
      <c r="F177" s="6">
        <f t="shared" si="82"/>
        <v>2.3306475026905582E-2</v>
      </c>
      <c r="G177" s="2"/>
      <c r="H177" s="7">
        <v>4716</v>
      </c>
      <c r="I177" s="2"/>
      <c r="J177" s="6">
        <f t="shared" si="83"/>
        <v>9.1638831080253936E-3</v>
      </c>
      <c r="K177" s="2"/>
      <c r="L177" s="7">
        <f t="shared" si="84"/>
        <v>-427.72000000000025</v>
      </c>
      <c r="M177" s="2"/>
      <c r="N177" s="6">
        <f t="shared" si="85"/>
        <v>-9.0695504664970367E-2</v>
      </c>
      <c r="O177" s="11"/>
      <c r="P177" s="7">
        <v>38594.519999999997</v>
      </c>
      <c r="Q177" s="2"/>
      <c r="R177" s="6">
        <f t="shared" si="86"/>
        <v>9.0448962242913496E-3</v>
      </c>
      <c r="S177" s="2"/>
      <c r="T177" s="7">
        <v>42444</v>
      </c>
      <c r="U177" s="2"/>
      <c r="V177" s="6">
        <f t="shared" si="87"/>
        <v>5.1889135446365276E-3</v>
      </c>
      <c r="W177" s="2"/>
      <c r="X177" s="7">
        <f t="shared" si="88"/>
        <v>-3849.4800000000032</v>
      </c>
      <c r="Y177" s="2"/>
      <c r="Z177" s="6">
        <f t="shared" si="89"/>
        <v>-9.0695504664970394E-2</v>
      </c>
    </row>
    <row r="178" spans="1:26" s="25" customFormat="1" outlineLevel="1" collapsed="1" x14ac:dyDescent="0.25">
      <c r="A178" s="27"/>
      <c r="B178" s="13" t="str">
        <f>CONCATENATE("     ","Interest                                          ")</f>
        <v xml:space="preserve">     Interest                                          </v>
      </c>
      <c r="C178" s="13"/>
      <c r="D178" s="1">
        <f>SUM(OSRRefD22_13x_0)</f>
        <v>4044</v>
      </c>
      <c r="E178" s="1"/>
      <c r="F178" s="5">
        <f t="shared" si="82"/>
        <v>2.1978831841392394E-2</v>
      </c>
      <c r="G178" s="1"/>
      <c r="H178" s="1">
        <f>SUM(OSRRefH22_13x_0)</f>
        <v>4044</v>
      </c>
      <c r="I178" s="1"/>
      <c r="J178" s="5">
        <f t="shared" si="83"/>
        <v>7.8580880595535817E-3</v>
      </c>
      <c r="K178" s="1"/>
      <c r="L178" s="1">
        <f t="shared" si="84"/>
        <v>0</v>
      </c>
      <c r="M178" s="1"/>
      <c r="N178" s="5">
        <f t="shared" si="85"/>
        <v>0</v>
      </c>
      <c r="O178" s="13"/>
      <c r="P178" s="1">
        <f>SUM(OSRRefP22_13x_0)</f>
        <v>36133.85</v>
      </c>
      <c r="Q178" s="1"/>
      <c r="R178" s="5">
        <f t="shared" si="86"/>
        <v>8.4682209659327282E-3</v>
      </c>
      <c r="S178" s="1"/>
      <c r="T178" s="1">
        <f>SUM(OSRRefT22_13x_0)</f>
        <v>36396</v>
      </c>
      <c r="U178" s="1"/>
      <c r="V178" s="5">
        <f t="shared" si="87"/>
        <v>4.4495263728817043E-3</v>
      </c>
      <c r="W178" s="1"/>
      <c r="X178" s="1">
        <f t="shared" si="88"/>
        <v>-262.15000000000146</v>
      </c>
      <c r="Y178" s="1"/>
      <c r="Z178" s="5">
        <f t="shared" si="89"/>
        <v>-7.2027145840202617E-3</v>
      </c>
    </row>
    <row r="179" spans="1:26" s="24" customFormat="1" hidden="1" outlineLevel="2" x14ac:dyDescent="0.25">
      <c r="A179" s="26"/>
      <c r="B179" s="11" t="str">
        <f>CONCATENATE("          ", "6401", " - ", "INTEREST EXPENSE")</f>
        <v xml:space="preserve">          6401 - INTEREST EXPENSE</v>
      </c>
      <c r="C179" s="11"/>
      <c r="D179" s="7">
        <v>4044</v>
      </c>
      <c r="E179" s="2"/>
      <c r="F179" s="6">
        <f t="shared" si="82"/>
        <v>2.1978831841392394E-2</v>
      </c>
      <c r="G179" s="2"/>
      <c r="H179" s="7">
        <v>4044</v>
      </c>
      <c r="I179" s="2"/>
      <c r="J179" s="6">
        <f t="shared" si="83"/>
        <v>7.8580880595535817E-3</v>
      </c>
      <c r="K179" s="2"/>
      <c r="L179" s="7">
        <f t="shared" si="84"/>
        <v>0</v>
      </c>
      <c r="M179" s="2"/>
      <c r="N179" s="6">
        <f t="shared" si="85"/>
        <v>0</v>
      </c>
      <c r="O179" s="11"/>
      <c r="P179" s="7">
        <v>36133.85</v>
      </c>
      <c r="Q179" s="2"/>
      <c r="R179" s="6">
        <f t="shared" si="86"/>
        <v>8.4682209659327282E-3</v>
      </c>
      <c r="S179" s="2"/>
      <c r="T179" s="7">
        <v>36396</v>
      </c>
      <c r="U179" s="2"/>
      <c r="V179" s="6">
        <f t="shared" si="87"/>
        <v>4.4495263728817043E-3</v>
      </c>
      <c r="W179" s="2"/>
      <c r="X179" s="7">
        <f t="shared" si="88"/>
        <v>-262.15000000000146</v>
      </c>
      <c r="Y179" s="2"/>
      <c r="Z179" s="6">
        <f t="shared" si="89"/>
        <v>-7.2027145840202617E-3</v>
      </c>
    </row>
    <row r="180" spans="1:26" s="25" customFormat="1" outlineLevel="1" collapsed="1" x14ac:dyDescent="0.25">
      <c r="A180" s="27"/>
      <c r="B180" s="13" t="str">
        <f>CONCATENATE("     ","Inventory Adjustment                              ")</f>
        <v xml:space="preserve">     Inventory Adjustment                              </v>
      </c>
      <c r="C180" s="13"/>
      <c r="D180" s="1">
        <f>SUM(OSRRefD22_14x_0)</f>
        <v>2100</v>
      </c>
      <c r="E180" s="1"/>
      <c r="F180" s="5">
        <f t="shared" si="82"/>
        <v>1.1413339976984181E-2</v>
      </c>
      <c r="G180" s="1"/>
      <c r="H180" s="1">
        <f>SUM(OSRRefH22_14x_0)</f>
        <v>3100</v>
      </c>
      <c r="I180" s="1"/>
      <c r="J180" s="5">
        <f t="shared" si="83"/>
        <v>6.0237569200336551E-3</v>
      </c>
      <c r="K180" s="1"/>
      <c r="L180" s="1">
        <f t="shared" si="84"/>
        <v>-1000</v>
      </c>
      <c r="M180" s="1"/>
      <c r="N180" s="5">
        <f t="shared" si="85"/>
        <v>-0.32258064516129031</v>
      </c>
      <c r="O180" s="13"/>
      <c r="P180" s="1">
        <f>SUM(OSRRefP22_14x_0)</f>
        <v>23900</v>
      </c>
      <c r="Q180" s="1"/>
      <c r="R180" s="5">
        <f t="shared" si="86"/>
        <v>5.6011324861810251E-3</v>
      </c>
      <c r="S180" s="1"/>
      <c r="T180" s="1">
        <f>SUM(OSRRefT22_14x_0)</f>
        <v>32900</v>
      </c>
      <c r="U180" s="1"/>
      <c r="V180" s="5">
        <f t="shared" si="87"/>
        <v>4.0221292907959135E-3</v>
      </c>
      <c r="W180" s="1"/>
      <c r="X180" s="1">
        <f t="shared" si="88"/>
        <v>-9000</v>
      </c>
      <c r="Y180" s="1"/>
      <c r="Z180" s="5">
        <f t="shared" si="89"/>
        <v>-0.2735562310030395</v>
      </c>
    </row>
    <row r="181" spans="1:26" s="24" customFormat="1" hidden="1" outlineLevel="2" x14ac:dyDescent="0.25">
      <c r="A181" s="26"/>
      <c r="B181" s="11" t="str">
        <f>CONCATENATE("          ", "6408", " - ", "INVENTORY ADJUSTMENT")</f>
        <v xml:space="preserve">          6408 - INVENTORY ADJUSTMENT</v>
      </c>
      <c r="C181" s="11"/>
      <c r="D181" s="7">
        <v>2100</v>
      </c>
      <c r="E181" s="2"/>
      <c r="F181" s="6">
        <f t="shared" si="82"/>
        <v>1.1413339976984181E-2</v>
      </c>
      <c r="G181" s="2"/>
      <c r="H181" s="7">
        <v>3100</v>
      </c>
      <c r="I181" s="2"/>
      <c r="J181" s="6">
        <f t="shared" si="83"/>
        <v>6.0237569200336551E-3</v>
      </c>
      <c r="K181" s="2"/>
      <c r="L181" s="7">
        <f t="shared" si="84"/>
        <v>-1000</v>
      </c>
      <c r="M181" s="2"/>
      <c r="N181" s="6">
        <f t="shared" si="85"/>
        <v>-0.32258064516129031</v>
      </c>
      <c r="O181" s="11"/>
      <c r="P181" s="7">
        <v>23900</v>
      </c>
      <c r="Q181" s="2"/>
      <c r="R181" s="6">
        <f t="shared" si="86"/>
        <v>5.6011324861810251E-3</v>
      </c>
      <c r="S181" s="2"/>
      <c r="T181" s="7">
        <v>32900</v>
      </c>
      <c r="U181" s="2"/>
      <c r="V181" s="6">
        <f t="shared" si="87"/>
        <v>4.0221292907959135E-3</v>
      </c>
      <c r="W181" s="2"/>
      <c r="X181" s="7">
        <f t="shared" si="88"/>
        <v>-9000</v>
      </c>
      <c r="Y181" s="2"/>
      <c r="Z181" s="6">
        <f t="shared" si="89"/>
        <v>-0.2735562310030395</v>
      </c>
    </row>
    <row r="182" spans="1:26" s="24" customFormat="1" hidden="1" outlineLevel="2" x14ac:dyDescent="0.25">
      <c r="A182" s="26"/>
      <c r="B182" s="11" t="str">
        <f>CONCATENATE("          ", "7741", " - ", "INV. SHRINKAGE-LOGO GIFTS")</f>
        <v xml:space="preserve">          7741 - INV. SHRINKAGE-LOGO GIFTS</v>
      </c>
      <c r="C182" s="11"/>
      <c r="D182" s="7"/>
      <c r="E182" s="2"/>
      <c r="F182" s="6">
        <f t="shared" si="82"/>
        <v>0</v>
      </c>
      <c r="G182" s="2"/>
      <c r="H182" s="7"/>
      <c r="I182" s="2"/>
      <c r="J182" s="6">
        <f t="shared" si="83"/>
        <v>0</v>
      </c>
      <c r="K182" s="2"/>
      <c r="L182" s="7">
        <f t="shared" si="84"/>
        <v>0</v>
      </c>
      <c r="M182" s="2"/>
      <c r="N182" s="6">
        <f t="shared" si="85"/>
        <v>0</v>
      </c>
      <c r="O182" s="11"/>
      <c r="P182" s="7">
        <v>0</v>
      </c>
      <c r="Q182" s="2"/>
      <c r="R182" s="6">
        <f t="shared" si="86"/>
        <v>0</v>
      </c>
      <c r="S182" s="2"/>
      <c r="T182" s="7"/>
      <c r="U182" s="2"/>
      <c r="V182" s="6">
        <f t="shared" si="87"/>
        <v>0</v>
      </c>
      <c r="W182" s="2"/>
      <c r="X182" s="7">
        <f t="shared" si="88"/>
        <v>0</v>
      </c>
      <c r="Y182" s="2"/>
      <c r="Z182" s="6">
        <f t="shared" si="89"/>
        <v>0</v>
      </c>
    </row>
    <row r="183" spans="1:26" s="25" customFormat="1" outlineLevel="1" collapsed="1" x14ac:dyDescent="0.25">
      <c r="A183" s="27"/>
      <c r="B183" s="13" t="str">
        <f>CONCATENATE("     ","Professional Services                             ")</f>
        <v xml:space="preserve">     Professional Services                             </v>
      </c>
      <c r="C183" s="13"/>
      <c r="D183" s="1">
        <f>SUM(OSRRefD22_15x_0)</f>
        <v>0</v>
      </c>
      <c r="E183" s="1"/>
      <c r="F183" s="5">
        <f t="shared" ref="F183:F191" si="90">IF(D$12=0,0,D183/D$12)</f>
        <v>0</v>
      </c>
      <c r="G183" s="1"/>
      <c r="H183" s="1">
        <f>SUM(OSRRefH22_15x_0)</f>
        <v>0</v>
      </c>
      <c r="I183" s="1"/>
      <c r="J183" s="5">
        <f t="shared" ref="J183:J191" si="91">IF(H$12=0,0,H183/H$12)</f>
        <v>0</v>
      </c>
      <c r="K183" s="1"/>
      <c r="L183" s="1">
        <f t="shared" ref="L183:L191" si="92">+D183-H183</f>
        <v>0</v>
      </c>
      <c r="M183" s="1"/>
      <c r="N183" s="5">
        <f t="shared" ref="N183:N191" si="93">IF(H183=0,0,L183/H183)</f>
        <v>0</v>
      </c>
      <c r="O183" s="13"/>
      <c r="P183" s="1">
        <f>SUM(OSRRefP22_15x_0)</f>
        <v>0</v>
      </c>
      <c r="Q183" s="1"/>
      <c r="R183" s="5">
        <f t="shared" ref="R183:R191" si="94">IF(P$12=0,0,P183/P$12)</f>
        <v>0</v>
      </c>
      <c r="S183" s="1"/>
      <c r="T183" s="1">
        <f>SUM(OSRRefT22_15x_0)</f>
        <v>7050</v>
      </c>
      <c r="U183" s="1"/>
      <c r="V183" s="5">
        <f t="shared" ref="V183:V191" si="95">IF(T$12=0,0,T183/T$12)</f>
        <v>8.6188484802769574E-4</v>
      </c>
      <c r="W183" s="1"/>
      <c r="X183" s="1">
        <f t="shared" ref="X183:X191" si="96">+P183-T183</f>
        <v>-7050</v>
      </c>
      <c r="Y183" s="1"/>
      <c r="Z183" s="5">
        <f t="shared" ref="Z183:Z191" si="97">IF(T183=0,0,X183/T183)</f>
        <v>-1</v>
      </c>
    </row>
    <row r="184" spans="1:26" s="24" customFormat="1" hidden="1" outlineLevel="2" x14ac:dyDescent="0.25">
      <c r="A184" s="26"/>
      <c r="B184" s="11" t="str">
        <f>CONCATENATE("          ", "6336", " - ", "PROFESSIONAL SERVICES")</f>
        <v xml:space="preserve">          6336 - PROFESSIONAL SERVICES</v>
      </c>
      <c r="C184" s="11"/>
      <c r="D184" s="7"/>
      <c r="E184" s="2"/>
      <c r="F184" s="6">
        <f t="shared" si="90"/>
        <v>0</v>
      </c>
      <c r="G184" s="2"/>
      <c r="H184" s="7">
        <v>0</v>
      </c>
      <c r="I184" s="2"/>
      <c r="J184" s="6">
        <f t="shared" si="91"/>
        <v>0</v>
      </c>
      <c r="K184" s="2"/>
      <c r="L184" s="7">
        <f t="shared" si="92"/>
        <v>0</v>
      </c>
      <c r="M184" s="2"/>
      <c r="N184" s="6">
        <f t="shared" si="93"/>
        <v>0</v>
      </c>
      <c r="O184" s="11"/>
      <c r="P184" s="7"/>
      <c r="Q184" s="2"/>
      <c r="R184" s="6">
        <f t="shared" si="94"/>
        <v>0</v>
      </c>
      <c r="S184" s="2"/>
      <c r="T184" s="7">
        <v>7050</v>
      </c>
      <c r="U184" s="2"/>
      <c r="V184" s="6">
        <f t="shared" si="95"/>
        <v>8.6188484802769574E-4</v>
      </c>
      <c r="W184" s="2"/>
      <c r="X184" s="7">
        <f t="shared" si="96"/>
        <v>-7050</v>
      </c>
      <c r="Y184" s="2"/>
      <c r="Z184" s="6">
        <f t="shared" si="97"/>
        <v>-1</v>
      </c>
    </row>
    <row r="185" spans="1:26" s="25" customFormat="1" outlineLevel="1" collapsed="1" x14ac:dyDescent="0.25">
      <c r="A185" s="27"/>
      <c r="B185" s="13" t="str">
        <f>CONCATENATE("     ","Rent                                              ")</f>
        <v xml:space="preserve">     Rent                                              </v>
      </c>
      <c r="C185" s="13"/>
      <c r="D185" s="1">
        <f>SUM(OSRRefD22_16x_0)</f>
        <v>6100</v>
      </c>
      <c r="E185" s="1"/>
      <c r="F185" s="5">
        <f t="shared" si="90"/>
        <v>3.3153035171239763E-2</v>
      </c>
      <c r="G185" s="1"/>
      <c r="H185" s="1">
        <f>SUM(OSRRefH22_16x_0)</f>
        <v>6100</v>
      </c>
      <c r="I185" s="1"/>
      <c r="J185" s="5">
        <f t="shared" si="91"/>
        <v>1.1853199100711385E-2</v>
      </c>
      <c r="K185" s="1"/>
      <c r="L185" s="1">
        <f t="shared" si="92"/>
        <v>0</v>
      </c>
      <c r="M185" s="1"/>
      <c r="N185" s="5">
        <f t="shared" si="93"/>
        <v>0</v>
      </c>
      <c r="O185" s="13"/>
      <c r="P185" s="1">
        <f>SUM(OSRRefP22_16x_0)</f>
        <v>54900</v>
      </c>
      <c r="Q185" s="1"/>
      <c r="R185" s="5">
        <f t="shared" si="94"/>
        <v>1.2866199727671057E-2</v>
      </c>
      <c r="S185" s="1"/>
      <c r="T185" s="1">
        <f>SUM(OSRRefT22_16x_0)</f>
        <v>54901</v>
      </c>
      <c r="U185" s="1"/>
      <c r="V185" s="5">
        <f t="shared" si="95"/>
        <v>6.7118212824919888E-3</v>
      </c>
      <c r="W185" s="1"/>
      <c r="X185" s="1">
        <f t="shared" si="96"/>
        <v>-1</v>
      </c>
      <c r="Y185" s="1"/>
      <c r="Z185" s="5">
        <f t="shared" si="97"/>
        <v>-1.8214604469863936E-5</v>
      </c>
    </row>
    <row r="186" spans="1:26" s="24" customFormat="1" hidden="1" outlineLevel="2" x14ac:dyDescent="0.25">
      <c r="A186" s="26"/>
      <c r="B186" s="11" t="str">
        <f>CONCATENATE("          ", "6273", " - ", "RENT")</f>
        <v xml:space="preserve">          6273 - RENT</v>
      </c>
      <c r="C186" s="11"/>
      <c r="D186" s="7">
        <v>6100</v>
      </c>
      <c r="E186" s="2"/>
      <c r="F186" s="6">
        <f t="shared" si="90"/>
        <v>3.3153035171239763E-2</v>
      </c>
      <c r="G186" s="2"/>
      <c r="H186" s="7">
        <v>6100</v>
      </c>
      <c r="I186" s="2"/>
      <c r="J186" s="6">
        <f t="shared" si="91"/>
        <v>1.1853199100711385E-2</v>
      </c>
      <c r="K186" s="2"/>
      <c r="L186" s="7">
        <f t="shared" si="92"/>
        <v>0</v>
      </c>
      <c r="M186" s="2"/>
      <c r="N186" s="6">
        <f t="shared" si="93"/>
        <v>0</v>
      </c>
      <c r="O186" s="11"/>
      <c r="P186" s="7">
        <v>54900</v>
      </c>
      <c r="Q186" s="2"/>
      <c r="R186" s="6">
        <f t="shared" si="94"/>
        <v>1.2866199727671057E-2</v>
      </c>
      <c r="S186" s="2"/>
      <c r="T186" s="7">
        <v>54901</v>
      </c>
      <c r="U186" s="2"/>
      <c r="V186" s="6">
        <f t="shared" si="95"/>
        <v>6.7118212824919888E-3</v>
      </c>
      <c r="W186" s="2"/>
      <c r="X186" s="7">
        <f t="shared" si="96"/>
        <v>-1</v>
      </c>
      <c r="Y186" s="2"/>
      <c r="Z186" s="6">
        <f t="shared" si="97"/>
        <v>-1.8214604469863936E-5</v>
      </c>
    </row>
    <row r="187" spans="1:26" s="25" customFormat="1" outlineLevel="1" collapsed="1" x14ac:dyDescent="0.25">
      <c r="A187" s="27"/>
      <c r="B187" s="13" t="str">
        <f>CONCATENATE("     ","Repair and Maintenance                            ")</f>
        <v xml:space="preserve">     Repair and Maintenance                            </v>
      </c>
      <c r="C187" s="13"/>
      <c r="D187" s="1">
        <f>SUM(OSRRefD22_17x_0)</f>
        <v>1899.9099999999999</v>
      </c>
      <c r="E187" s="1"/>
      <c r="F187" s="5">
        <f t="shared" si="90"/>
        <v>1.032586607412953E-2</v>
      </c>
      <c r="G187" s="1"/>
      <c r="H187" s="1">
        <f>SUM(OSRRefH22_17x_0)</f>
        <v>19875</v>
      </c>
      <c r="I187" s="1"/>
      <c r="J187" s="5">
        <f t="shared" si="91"/>
        <v>3.8620054446989967E-2</v>
      </c>
      <c r="K187" s="1"/>
      <c r="L187" s="1">
        <f t="shared" si="92"/>
        <v>-17975.09</v>
      </c>
      <c r="M187" s="1"/>
      <c r="N187" s="5">
        <f t="shared" si="93"/>
        <v>-0.90440704402515726</v>
      </c>
      <c r="O187" s="13"/>
      <c r="P187" s="1">
        <f>SUM(OSRRefP22_17x_0)</f>
        <v>133256.16</v>
      </c>
      <c r="Q187" s="1"/>
      <c r="R187" s="5">
        <f t="shared" si="94"/>
        <v>3.1229514927185623E-2</v>
      </c>
      <c r="S187" s="1"/>
      <c r="T187" s="1">
        <f>SUM(OSRRefT22_17x_0)</f>
        <v>184217</v>
      </c>
      <c r="U187" s="1"/>
      <c r="V187" s="5">
        <f t="shared" si="95"/>
        <v>2.2521112205548657E-2</v>
      </c>
      <c r="W187" s="1"/>
      <c r="X187" s="1">
        <f t="shared" si="96"/>
        <v>-50960.84</v>
      </c>
      <c r="Y187" s="1"/>
      <c r="Z187" s="5">
        <f t="shared" si="97"/>
        <v>-0.27663483826139823</v>
      </c>
    </row>
    <row r="188" spans="1:26" s="24" customFormat="1" hidden="1" outlineLevel="2" x14ac:dyDescent="0.25">
      <c r="A188" s="26"/>
      <c r="B188" s="11" t="str">
        <f>CONCATENATE("          ", "6371", " - ", "COMPUTER SOFTWARE MAINTENANCE")</f>
        <v xml:space="preserve">          6371 - COMPUTER SOFTWARE MAINTENANCE</v>
      </c>
      <c r="C188" s="11"/>
      <c r="D188" s="7"/>
      <c r="E188" s="2"/>
      <c r="F188" s="6">
        <f t="shared" si="90"/>
        <v>0</v>
      </c>
      <c r="G188" s="2"/>
      <c r="H188" s="7"/>
      <c r="I188" s="2"/>
      <c r="J188" s="6">
        <f t="shared" si="91"/>
        <v>0</v>
      </c>
      <c r="K188" s="2"/>
      <c r="L188" s="7">
        <f t="shared" si="92"/>
        <v>0</v>
      </c>
      <c r="M188" s="2"/>
      <c r="N188" s="6">
        <f t="shared" si="93"/>
        <v>0</v>
      </c>
      <c r="O188" s="11"/>
      <c r="P188" s="7">
        <v>59767.72</v>
      </c>
      <c r="Q188" s="2"/>
      <c r="R188" s="6">
        <f t="shared" si="94"/>
        <v>1.40069840216306E-2</v>
      </c>
      <c r="S188" s="2"/>
      <c r="T188" s="7">
        <v>45043</v>
      </c>
      <c r="U188" s="2"/>
      <c r="V188" s="6">
        <f t="shared" si="95"/>
        <v>5.5066495332924108E-3</v>
      </c>
      <c r="W188" s="2"/>
      <c r="X188" s="7">
        <f t="shared" si="96"/>
        <v>14724.720000000001</v>
      </c>
      <c r="Y188" s="2"/>
      <c r="Z188" s="6">
        <f t="shared" si="97"/>
        <v>0.32690362542459428</v>
      </c>
    </row>
    <row r="189" spans="1:26" s="24" customFormat="1" hidden="1" outlineLevel="2" x14ac:dyDescent="0.25">
      <c r="A189" s="26"/>
      <c r="B189" s="11" t="str">
        <f>CONCATENATE("          ", "6372", " - ", "COMPUTER HARDWARE MAINTENANCE")</f>
        <v xml:space="preserve">          6372 - COMPUTER HARDWARE MAINTENANCE</v>
      </c>
      <c r="C189" s="11"/>
      <c r="D189" s="7"/>
      <c r="E189" s="2"/>
      <c r="F189" s="6">
        <f t="shared" si="90"/>
        <v>0</v>
      </c>
      <c r="G189" s="2"/>
      <c r="H189" s="7"/>
      <c r="I189" s="2"/>
      <c r="J189" s="6">
        <f t="shared" si="91"/>
        <v>0</v>
      </c>
      <c r="K189" s="2"/>
      <c r="L189" s="7">
        <f t="shared" si="92"/>
        <v>0</v>
      </c>
      <c r="M189" s="2"/>
      <c r="N189" s="6">
        <f t="shared" si="93"/>
        <v>0</v>
      </c>
      <c r="O189" s="11"/>
      <c r="P189" s="7">
        <v>-1.1499999999999999</v>
      </c>
      <c r="Q189" s="2"/>
      <c r="R189" s="6">
        <f t="shared" si="94"/>
        <v>-2.6951055895850115E-7</v>
      </c>
      <c r="S189" s="2"/>
      <c r="T189" s="7">
        <v>437</v>
      </c>
      <c r="U189" s="2"/>
      <c r="V189" s="6">
        <f t="shared" si="95"/>
        <v>5.3424635260723835E-5</v>
      </c>
      <c r="W189" s="2"/>
      <c r="X189" s="7">
        <f t="shared" si="96"/>
        <v>-438.15</v>
      </c>
      <c r="Y189" s="2"/>
      <c r="Z189" s="6">
        <f t="shared" si="97"/>
        <v>-1.0026315789473683</v>
      </c>
    </row>
    <row r="190" spans="1:26" s="24" customFormat="1" hidden="1" outlineLevel="2" x14ac:dyDescent="0.25">
      <c r="A190" s="26"/>
      <c r="B190" s="11" t="str">
        <f>CONCATENATE("          ", "6373", " - ", "MAINTENANCE CONTRACTS")</f>
        <v xml:space="preserve">          6373 - MAINTENANCE CONTRACTS</v>
      </c>
      <c r="C190" s="11"/>
      <c r="D190" s="7">
        <v>1564.35</v>
      </c>
      <c r="E190" s="2"/>
      <c r="F190" s="6">
        <f t="shared" si="90"/>
        <v>8.5021230442834297E-3</v>
      </c>
      <c r="G190" s="2"/>
      <c r="H190" s="7">
        <v>11040</v>
      </c>
      <c r="I190" s="2"/>
      <c r="J190" s="6">
        <f t="shared" si="91"/>
        <v>2.1452347224894051E-2</v>
      </c>
      <c r="K190" s="2"/>
      <c r="L190" s="7">
        <f t="shared" si="92"/>
        <v>-9475.65</v>
      </c>
      <c r="M190" s="2"/>
      <c r="N190" s="6">
        <f t="shared" si="93"/>
        <v>-0.85830163043478258</v>
      </c>
      <c r="O190" s="11"/>
      <c r="P190" s="7">
        <v>45947.63</v>
      </c>
      <c r="Q190" s="2"/>
      <c r="R190" s="6">
        <f t="shared" si="94"/>
        <v>1.0768149081842085E-2</v>
      </c>
      <c r="S190" s="2"/>
      <c r="T190" s="7">
        <v>59991</v>
      </c>
      <c r="U190" s="2"/>
      <c r="V190" s="6">
        <f t="shared" si="95"/>
        <v>7.3340899174509921E-3</v>
      </c>
      <c r="W190" s="2"/>
      <c r="X190" s="7">
        <f t="shared" si="96"/>
        <v>-14043.370000000003</v>
      </c>
      <c r="Y190" s="2"/>
      <c r="Z190" s="6">
        <f t="shared" si="97"/>
        <v>-0.23409128035872051</v>
      </c>
    </row>
    <row r="191" spans="1:26" s="24" customFormat="1" hidden="1" outlineLevel="2" x14ac:dyDescent="0.25">
      <c r="A191" s="26"/>
      <c r="B191" s="11" t="str">
        <f>CONCATENATE("          ", "6375", " - ", "OUTSIDE REPAIRS &amp; MAINTENANCE")</f>
        <v xml:space="preserve">          6375 - OUTSIDE REPAIRS &amp; MAINTENANCE</v>
      </c>
      <c r="C191" s="11"/>
      <c r="D191" s="7">
        <v>335.56</v>
      </c>
      <c r="E191" s="2"/>
      <c r="F191" s="6">
        <f t="shared" si="90"/>
        <v>1.8237430298461009E-3</v>
      </c>
      <c r="G191" s="2"/>
      <c r="H191" s="7">
        <v>8835</v>
      </c>
      <c r="I191" s="2"/>
      <c r="J191" s="6">
        <f t="shared" si="91"/>
        <v>1.7167707222095919E-2</v>
      </c>
      <c r="K191" s="2"/>
      <c r="L191" s="7">
        <f t="shared" si="92"/>
        <v>-8499.44</v>
      </c>
      <c r="M191" s="2"/>
      <c r="N191" s="6">
        <f t="shared" si="93"/>
        <v>-0.9620192416525184</v>
      </c>
      <c r="O191" s="11"/>
      <c r="P191" s="7">
        <v>27541.96</v>
      </c>
      <c r="Q191" s="2"/>
      <c r="R191" s="6">
        <f t="shared" si="94"/>
        <v>6.4546513342718962E-3</v>
      </c>
      <c r="S191" s="2"/>
      <c r="T191" s="7">
        <v>78746</v>
      </c>
      <c r="U191" s="2"/>
      <c r="V191" s="6">
        <f t="shared" si="95"/>
        <v>9.6269481195445285E-3</v>
      </c>
      <c r="W191" s="2"/>
      <c r="X191" s="7">
        <f t="shared" si="96"/>
        <v>-51204.04</v>
      </c>
      <c r="Y191" s="2"/>
      <c r="Z191" s="6">
        <f t="shared" si="97"/>
        <v>-0.65024305996495058</v>
      </c>
    </row>
    <row r="192" spans="1:26" s="25" customFormat="1" outlineLevel="1" collapsed="1" x14ac:dyDescent="0.25">
      <c r="A192" s="27"/>
      <c r="B192" s="13" t="str">
        <f>CONCATENATE("     ","Royalty &amp; Commissions                             ")</f>
        <v xml:space="preserve">     Royalty &amp; Commissions                             </v>
      </c>
      <c r="C192" s="13"/>
      <c r="D192" s="1">
        <f>SUM(OSRRefD22_18x_0)</f>
        <v>27.21</v>
      </c>
      <c r="E192" s="1"/>
      <c r="F192" s="5">
        <f t="shared" ref="F192:F196" si="98">IF(D$12=0,0,D192/D$12)</f>
        <v>1.4788427655892361E-4</v>
      </c>
      <c r="G192" s="1"/>
      <c r="H192" s="1">
        <f>SUM(OSRRefH22_18x_0)</f>
        <v>12250</v>
      </c>
      <c r="I192" s="1"/>
      <c r="J192" s="5">
        <f t="shared" ref="J192:J196" si="99">IF(H$12=0,0,H192/H$12)</f>
        <v>2.3803555571100733E-2</v>
      </c>
      <c r="K192" s="1"/>
      <c r="L192" s="1">
        <f t="shared" ref="L192:L196" si="100">+D192-H192</f>
        <v>-12222.79</v>
      </c>
      <c r="M192" s="1"/>
      <c r="N192" s="5">
        <f t="shared" ref="N192:N196" si="101">IF(H192=0,0,L192/H192)</f>
        <v>-0.99777877551020411</v>
      </c>
      <c r="O192" s="13"/>
      <c r="P192" s="1">
        <f>SUM(OSRRefP22_18x_0)</f>
        <v>37046.9</v>
      </c>
      <c r="Q192" s="1"/>
      <c r="R192" s="5">
        <f t="shared" ref="R192:R196" si="102">IF(P$12=0,0,P192/P$12)</f>
        <v>8.6822006318953895E-3</v>
      </c>
      <c r="S192" s="1"/>
      <c r="T192" s="1">
        <f>SUM(OSRRefT22_18x_0)</f>
        <v>87991</v>
      </c>
      <c r="U192" s="1"/>
      <c r="V192" s="5">
        <f t="shared" ref="V192:V196" si="103">IF(T$12=0,0,T192/T$12)</f>
        <v>1.0757178675575173E-2</v>
      </c>
      <c r="W192" s="1"/>
      <c r="X192" s="1">
        <f t="shared" ref="X192:X196" si="104">+P192-T192</f>
        <v>-50944.1</v>
      </c>
      <c r="Y192" s="1"/>
      <c r="Z192" s="5">
        <f t="shared" ref="Z192:Z196" si="105">IF(T192=0,0,X192/T192)</f>
        <v>-0.57896944005636941</v>
      </c>
    </row>
    <row r="193" spans="1:26" s="24" customFormat="1" hidden="1" outlineLevel="2" x14ac:dyDescent="0.25">
      <c r="A193" s="26"/>
      <c r="B193" s="11" t="str">
        <f>CONCATENATE("          ", "6252", " - ", "ROYALTY DUE CSTV")</f>
        <v xml:space="preserve">          6252 - ROYALTY DUE CSTV</v>
      </c>
      <c r="C193" s="11"/>
      <c r="D193" s="7"/>
      <c r="E193" s="2"/>
      <c r="F193" s="6">
        <f t="shared" si="98"/>
        <v>0</v>
      </c>
      <c r="G193" s="2"/>
      <c r="H193" s="7">
        <v>1085</v>
      </c>
      <c r="I193" s="2"/>
      <c r="J193" s="6">
        <f t="shared" si="99"/>
        <v>2.1083149220117794E-3</v>
      </c>
      <c r="K193" s="2"/>
      <c r="L193" s="7">
        <f t="shared" si="100"/>
        <v>-1085</v>
      </c>
      <c r="M193" s="2"/>
      <c r="N193" s="6">
        <f t="shared" si="101"/>
        <v>-1</v>
      </c>
      <c r="O193" s="11"/>
      <c r="P193" s="7"/>
      <c r="Q193" s="2"/>
      <c r="R193" s="6">
        <f t="shared" si="102"/>
        <v>0</v>
      </c>
      <c r="S193" s="2"/>
      <c r="T193" s="7">
        <v>9765</v>
      </c>
      <c r="U193" s="2"/>
      <c r="V193" s="6">
        <f t="shared" si="103"/>
        <v>1.1938022043958083E-3</v>
      </c>
      <c r="W193" s="2"/>
      <c r="X193" s="7">
        <f t="shared" si="104"/>
        <v>-9765</v>
      </c>
      <c r="Y193" s="2"/>
      <c r="Z193" s="6">
        <f t="shared" si="105"/>
        <v>-1</v>
      </c>
    </row>
    <row r="194" spans="1:26" s="24" customFormat="1" hidden="1" outlineLevel="2" x14ac:dyDescent="0.25">
      <c r="A194" s="26"/>
      <c r="B194" s="11" t="str">
        <f>CONCATENATE("          ", "6253", " - ", "ROYALTY DUE ATHLETICS-LRG")</f>
        <v xml:space="preserve">          6253 - ROYALTY DUE ATHLETICS-LRG</v>
      </c>
      <c r="C194" s="11"/>
      <c r="D194" s="7"/>
      <c r="E194" s="2"/>
      <c r="F194" s="6">
        <f t="shared" si="98"/>
        <v>0</v>
      </c>
      <c r="G194" s="2"/>
      <c r="H194" s="7">
        <v>4037</v>
      </c>
      <c r="I194" s="2"/>
      <c r="J194" s="6">
        <f t="shared" si="99"/>
        <v>7.8444860277986674E-3</v>
      </c>
      <c r="K194" s="2"/>
      <c r="L194" s="7">
        <f t="shared" si="100"/>
        <v>-4037</v>
      </c>
      <c r="M194" s="2"/>
      <c r="N194" s="6">
        <f t="shared" si="101"/>
        <v>-1</v>
      </c>
      <c r="O194" s="11"/>
      <c r="P194" s="7">
        <v>26197.58</v>
      </c>
      <c r="Q194" s="2"/>
      <c r="R194" s="6">
        <f t="shared" si="102"/>
        <v>6.1395864601391757E-3</v>
      </c>
      <c r="S194" s="2"/>
      <c r="T194" s="7">
        <v>36333</v>
      </c>
      <c r="U194" s="2"/>
      <c r="V194" s="6">
        <f t="shared" si="103"/>
        <v>4.4418244231759245E-3</v>
      </c>
      <c r="W194" s="2"/>
      <c r="X194" s="7">
        <f t="shared" si="104"/>
        <v>-10135.419999999998</v>
      </c>
      <c r="Y194" s="2"/>
      <c r="Z194" s="6">
        <f t="shared" si="105"/>
        <v>-0.27895907301901846</v>
      </c>
    </row>
    <row r="195" spans="1:26" s="24" customFormat="1" hidden="1" outlineLevel="2" x14ac:dyDescent="0.25">
      <c r="A195" s="26"/>
      <c r="B195" s="11" t="str">
        <f>CONCATENATE("          ", "6254", " - ", "ROYALTY &amp; COMMISSIONS")</f>
        <v xml:space="preserve">          6254 - ROYALTY &amp; COMMISSIONS</v>
      </c>
      <c r="C195" s="11"/>
      <c r="D195" s="7"/>
      <c r="E195" s="2"/>
      <c r="F195" s="6">
        <f t="shared" si="98"/>
        <v>0</v>
      </c>
      <c r="G195" s="2"/>
      <c r="H195" s="7">
        <v>1149</v>
      </c>
      <c r="I195" s="2"/>
      <c r="J195" s="6">
        <f t="shared" si="99"/>
        <v>2.232676355199571E-3</v>
      </c>
      <c r="K195" s="2"/>
      <c r="L195" s="7">
        <f t="shared" si="100"/>
        <v>-1149</v>
      </c>
      <c r="M195" s="2"/>
      <c r="N195" s="6">
        <f t="shared" si="101"/>
        <v>-1</v>
      </c>
      <c r="O195" s="11"/>
      <c r="P195" s="7">
        <v>185.7</v>
      </c>
      <c r="Q195" s="2"/>
      <c r="R195" s="6">
        <f t="shared" si="102"/>
        <v>4.3520096346603191E-5</v>
      </c>
      <c r="S195" s="2"/>
      <c r="T195" s="7">
        <v>10341</v>
      </c>
      <c r="U195" s="2"/>
      <c r="V195" s="6">
        <f t="shared" si="103"/>
        <v>1.2642200302772201E-3</v>
      </c>
      <c r="W195" s="2"/>
      <c r="X195" s="7">
        <f t="shared" si="104"/>
        <v>-10155.299999999999</v>
      </c>
      <c r="Y195" s="2"/>
      <c r="Z195" s="6">
        <f t="shared" si="105"/>
        <v>-0.98204235567159837</v>
      </c>
    </row>
    <row r="196" spans="1:26" s="24" customFormat="1" hidden="1" outlineLevel="2" x14ac:dyDescent="0.25">
      <c r="A196" s="26"/>
      <c r="B196" s="11" t="str">
        <f>CONCATENATE("          ", "6259", " - ", "ROYALTY &amp; COMMISSIONS")</f>
        <v xml:space="preserve">          6259 - ROYALTY &amp; COMMISSIONS</v>
      </c>
      <c r="C196" s="11"/>
      <c r="D196" s="7">
        <v>27.21</v>
      </c>
      <c r="E196" s="2"/>
      <c r="F196" s="6">
        <f t="shared" si="98"/>
        <v>1.4788427655892361E-4</v>
      </c>
      <c r="G196" s="2"/>
      <c r="H196" s="7">
        <v>5979</v>
      </c>
      <c r="I196" s="2"/>
      <c r="J196" s="6">
        <f t="shared" si="99"/>
        <v>1.1618078266090718E-2</v>
      </c>
      <c r="K196" s="2"/>
      <c r="L196" s="7">
        <f t="shared" si="100"/>
        <v>-5951.79</v>
      </c>
      <c r="M196" s="2"/>
      <c r="N196" s="6">
        <f t="shared" si="101"/>
        <v>-0.99544907175112896</v>
      </c>
      <c r="O196" s="11"/>
      <c r="P196" s="7">
        <v>10663.62</v>
      </c>
      <c r="Q196" s="2"/>
      <c r="R196" s="6">
        <f t="shared" si="102"/>
        <v>2.4990940754096112E-3</v>
      </c>
      <c r="S196" s="2"/>
      <c r="T196" s="7">
        <v>31552</v>
      </c>
      <c r="U196" s="2"/>
      <c r="V196" s="6">
        <f t="shared" si="103"/>
        <v>3.8573320177262204E-3</v>
      </c>
      <c r="W196" s="2"/>
      <c r="X196" s="7">
        <f t="shared" si="104"/>
        <v>-20888.379999999997</v>
      </c>
      <c r="Y196" s="2"/>
      <c r="Z196" s="6">
        <f t="shared" si="105"/>
        <v>-0.66203029918864087</v>
      </c>
    </row>
    <row r="197" spans="1:26" s="25" customFormat="1" outlineLevel="1" collapsed="1" x14ac:dyDescent="0.25">
      <c r="A197" s="27"/>
      <c r="B197" s="13" t="str">
        <f>CONCATENATE("     ","Services                                          ")</f>
        <v xml:space="preserve">     Services                                          </v>
      </c>
      <c r="C197" s="13"/>
      <c r="D197" s="1">
        <f>SUM(OSRRefD22_19x_0)</f>
        <v>7635.98</v>
      </c>
      <c r="E197" s="1"/>
      <c r="F197" s="5">
        <f t="shared" ref="F197:F202" si="106">IF(D$12=0,0,D197/D$12)</f>
        <v>4.1500969427357932E-2</v>
      </c>
      <c r="G197" s="1"/>
      <c r="H197" s="1">
        <f>SUM(OSRRefH22_19x_0)</f>
        <v>5627</v>
      </c>
      <c r="I197" s="1"/>
      <c r="J197" s="5">
        <f t="shared" ref="J197:J202" si="107">IF(H$12=0,0,H197/H$12)</f>
        <v>1.0934090383557865E-2</v>
      </c>
      <c r="K197" s="1"/>
      <c r="L197" s="1">
        <f t="shared" ref="L197:L202" si="108">+D197-H197</f>
        <v>2008.9799999999996</v>
      </c>
      <c r="M197" s="1"/>
      <c r="N197" s="5">
        <f t="shared" ref="N197:N202" si="109">IF(H197=0,0,L197/H197)</f>
        <v>0.3570250577572418</v>
      </c>
      <c r="O197" s="13"/>
      <c r="P197" s="1">
        <f>SUM(OSRRefP22_19x_0)</f>
        <v>38143.019999999997</v>
      </c>
      <c r="Q197" s="1"/>
      <c r="R197" s="5">
        <f t="shared" ref="R197:R202" si="110">IF(P$12=0,0,P197/P$12)</f>
        <v>8.9390840352741637E-3</v>
      </c>
      <c r="S197" s="1"/>
      <c r="T197" s="1">
        <f>SUM(OSRRefT22_19x_0)</f>
        <v>51485</v>
      </c>
      <c r="U197" s="1"/>
      <c r="V197" s="5">
        <f t="shared" ref="V197:V202" si="111">IF(T$12=0,0,T197/T$12)</f>
        <v>6.294204454000839E-3</v>
      </c>
      <c r="W197" s="1"/>
      <c r="X197" s="1">
        <f t="shared" ref="X197:X202" si="112">+P197-T197</f>
        <v>-13341.980000000003</v>
      </c>
      <c r="Y197" s="1"/>
      <c r="Z197" s="5">
        <f t="shared" ref="Z197:Z202" si="113">IF(T197=0,0,X197/T197)</f>
        <v>-0.25914305137418669</v>
      </c>
    </row>
    <row r="198" spans="1:26" s="24" customFormat="1" hidden="1" outlineLevel="2" x14ac:dyDescent="0.25">
      <c r="A198" s="26"/>
      <c r="B198" s="11" t="str">
        <f>CONCATENATE("          ", "6282", " - ", "JANITORIAL/EXTERMINATOR EXPENS")</f>
        <v xml:space="preserve">          6282 - JANITORIAL/EXTERMINATOR EXPENS</v>
      </c>
      <c r="C198" s="11"/>
      <c r="D198" s="7">
        <v>894.21</v>
      </c>
      <c r="E198" s="2"/>
      <c r="F198" s="6">
        <f t="shared" si="106"/>
        <v>4.8599632099138217E-3</v>
      </c>
      <c r="G198" s="2"/>
      <c r="H198" s="7">
        <v>4000</v>
      </c>
      <c r="I198" s="2"/>
      <c r="J198" s="6">
        <f t="shared" si="107"/>
        <v>7.7725895742369747E-3</v>
      </c>
      <c r="K198" s="2"/>
      <c r="L198" s="7">
        <f t="shared" si="108"/>
        <v>-3105.79</v>
      </c>
      <c r="M198" s="2"/>
      <c r="N198" s="6">
        <f t="shared" si="109"/>
        <v>-0.77644749999999996</v>
      </c>
      <c r="O198" s="11"/>
      <c r="P198" s="7">
        <v>9341.08</v>
      </c>
      <c r="Q198" s="2"/>
      <c r="R198" s="6">
        <f t="shared" si="110"/>
        <v>2.1891475583270229E-3</v>
      </c>
      <c r="S198" s="2"/>
      <c r="T198" s="7">
        <v>37416</v>
      </c>
      <c r="U198" s="2"/>
      <c r="V198" s="6">
        <f t="shared" si="111"/>
        <v>4.5742246062133703E-3</v>
      </c>
      <c r="W198" s="2"/>
      <c r="X198" s="7">
        <f t="shared" si="112"/>
        <v>-28074.92</v>
      </c>
      <c r="Y198" s="2"/>
      <c r="Z198" s="6">
        <f t="shared" si="113"/>
        <v>-0.7503453068206114</v>
      </c>
    </row>
    <row r="199" spans="1:26" s="24" customFormat="1" hidden="1" outlineLevel="2" x14ac:dyDescent="0.25">
      <c r="A199" s="26"/>
      <c r="B199" s="11" t="str">
        <f>CONCATENATE("          ", "6283", " - ", "PLANT SERVICE")</f>
        <v xml:space="preserve">          6283 - PLANT SERVICE</v>
      </c>
      <c r="C199" s="11"/>
      <c r="D199" s="7"/>
      <c r="E199" s="2"/>
      <c r="F199" s="6">
        <f t="shared" si="106"/>
        <v>0</v>
      </c>
      <c r="G199" s="2"/>
      <c r="H199" s="7">
        <v>0</v>
      </c>
      <c r="I199" s="2"/>
      <c r="J199" s="6">
        <f t="shared" si="107"/>
        <v>0</v>
      </c>
      <c r="K199" s="2"/>
      <c r="L199" s="7">
        <f t="shared" si="108"/>
        <v>0</v>
      </c>
      <c r="M199" s="2"/>
      <c r="N199" s="6">
        <f t="shared" si="109"/>
        <v>0</v>
      </c>
      <c r="O199" s="11"/>
      <c r="P199" s="7">
        <v>171.31</v>
      </c>
      <c r="Q199" s="2"/>
      <c r="R199" s="6">
        <f t="shared" si="110"/>
        <v>4.0147699004505076E-5</v>
      </c>
      <c r="S199" s="2"/>
      <c r="T199" s="7">
        <v>0</v>
      </c>
      <c r="U199" s="2"/>
      <c r="V199" s="6">
        <f t="shared" si="111"/>
        <v>0</v>
      </c>
      <c r="W199" s="2"/>
      <c r="X199" s="7">
        <f t="shared" si="112"/>
        <v>171.31</v>
      </c>
      <c r="Y199" s="2"/>
      <c r="Z199" s="6">
        <f t="shared" si="113"/>
        <v>0</v>
      </c>
    </row>
    <row r="200" spans="1:26" s="24" customFormat="1" hidden="1" outlineLevel="2" x14ac:dyDescent="0.25">
      <c r="A200" s="26"/>
      <c r="B200" s="11" t="str">
        <f>CONCATENATE("          ", "6284", " - ", "TRASH REMOVAL EXPENSE")</f>
        <v xml:space="preserve">          6284 - TRASH REMOVAL EXPENSE</v>
      </c>
      <c r="C200" s="11"/>
      <c r="D200" s="7">
        <v>-138.43</v>
      </c>
      <c r="E200" s="2"/>
      <c r="F200" s="6">
        <f t="shared" si="106"/>
        <v>-7.5235650143520014E-4</v>
      </c>
      <c r="G200" s="2"/>
      <c r="H200" s="7">
        <v>399</v>
      </c>
      <c r="I200" s="2"/>
      <c r="J200" s="6">
        <f t="shared" si="107"/>
        <v>7.7531581003013818E-4</v>
      </c>
      <c r="K200" s="2"/>
      <c r="L200" s="7">
        <f t="shared" si="108"/>
        <v>-537.43000000000006</v>
      </c>
      <c r="M200" s="2"/>
      <c r="N200" s="6">
        <f t="shared" si="109"/>
        <v>-1.3469423558897244</v>
      </c>
      <c r="O200" s="11"/>
      <c r="P200" s="7">
        <v>2173.15</v>
      </c>
      <c r="Q200" s="2"/>
      <c r="R200" s="6">
        <f t="shared" si="110"/>
        <v>5.0929293147884073E-4</v>
      </c>
      <c r="S200" s="2"/>
      <c r="T200" s="7">
        <v>3260</v>
      </c>
      <c r="U200" s="2"/>
      <c r="V200" s="6">
        <f t="shared" si="111"/>
        <v>3.9854533398160115E-4</v>
      </c>
      <c r="W200" s="2"/>
      <c r="X200" s="7">
        <f t="shared" si="112"/>
        <v>-1086.8499999999999</v>
      </c>
      <c r="Y200" s="2"/>
      <c r="Z200" s="6">
        <f t="shared" si="113"/>
        <v>-0.33338957055214719</v>
      </c>
    </row>
    <row r="201" spans="1:26" s="24" customFormat="1" hidden="1" outlineLevel="2" x14ac:dyDescent="0.25">
      <c r="A201" s="26"/>
      <c r="B201" s="11" t="str">
        <f>CONCATENATE("          ", "6285", " - ", "JANITORIAL SERVICES")</f>
        <v xml:space="preserve">          6285 - JANITORIAL SERVICES</v>
      </c>
      <c r="C201" s="11"/>
      <c r="D201" s="7">
        <v>6880.2</v>
      </c>
      <c r="E201" s="2"/>
      <c r="F201" s="6">
        <f t="shared" si="106"/>
        <v>3.7393362718879317E-2</v>
      </c>
      <c r="G201" s="2"/>
      <c r="H201" s="7">
        <v>1124</v>
      </c>
      <c r="I201" s="2"/>
      <c r="J201" s="6">
        <f t="shared" si="107"/>
        <v>2.1840976703605898E-3</v>
      </c>
      <c r="K201" s="2"/>
      <c r="L201" s="7">
        <f t="shared" si="108"/>
        <v>5756.2</v>
      </c>
      <c r="M201" s="2"/>
      <c r="N201" s="6">
        <f t="shared" si="109"/>
        <v>5.1211743772241993</v>
      </c>
      <c r="O201" s="11"/>
      <c r="P201" s="7">
        <v>26457.48</v>
      </c>
      <c r="Q201" s="2"/>
      <c r="R201" s="6">
        <f t="shared" si="110"/>
        <v>6.2004958464637961E-3</v>
      </c>
      <c r="S201" s="2"/>
      <c r="T201" s="7">
        <v>9880</v>
      </c>
      <c r="U201" s="2"/>
      <c r="V201" s="6">
        <f t="shared" si="111"/>
        <v>1.207861318938104E-3</v>
      </c>
      <c r="W201" s="2"/>
      <c r="X201" s="7">
        <f t="shared" si="112"/>
        <v>16577.48</v>
      </c>
      <c r="Y201" s="2"/>
      <c r="Z201" s="6">
        <f t="shared" si="113"/>
        <v>1.6778825910931174</v>
      </c>
    </row>
    <row r="202" spans="1:26" s="24" customFormat="1" hidden="1" outlineLevel="2" x14ac:dyDescent="0.25">
      <c r="A202" s="26"/>
      <c r="B202" s="11" t="str">
        <f>CONCATENATE("          ", "6286", " - ", "LAUNDRY EXPENSE")</f>
        <v xml:space="preserve">          6286 - LAUNDRY EXPENSE</v>
      </c>
      <c r="C202" s="11"/>
      <c r="D202" s="7"/>
      <c r="E202" s="2"/>
      <c r="F202" s="6">
        <f t="shared" si="106"/>
        <v>0</v>
      </c>
      <c r="G202" s="2"/>
      <c r="H202" s="7">
        <v>104</v>
      </c>
      <c r="I202" s="2"/>
      <c r="J202" s="6">
        <f t="shared" si="107"/>
        <v>2.0208732893016134E-4</v>
      </c>
      <c r="K202" s="2"/>
      <c r="L202" s="7">
        <f t="shared" si="108"/>
        <v>-104</v>
      </c>
      <c r="M202" s="2"/>
      <c r="N202" s="6">
        <f t="shared" si="109"/>
        <v>-1</v>
      </c>
      <c r="O202" s="11"/>
      <c r="P202" s="7"/>
      <c r="Q202" s="2"/>
      <c r="R202" s="6">
        <f t="shared" si="110"/>
        <v>0</v>
      </c>
      <c r="S202" s="2"/>
      <c r="T202" s="7">
        <v>929</v>
      </c>
      <c r="U202" s="2"/>
      <c r="V202" s="6">
        <f t="shared" si="111"/>
        <v>1.1357319486776303E-4</v>
      </c>
      <c r="W202" s="2"/>
      <c r="X202" s="7">
        <f t="shared" si="112"/>
        <v>-929</v>
      </c>
      <c r="Y202" s="2"/>
      <c r="Z202" s="6">
        <f t="shared" si="113"/>
        <v>-1</v>
      </c>
    </row>
    <row r="203" spans="1:26" s="25" customFormat="1" outlineLevel="1" collapsed="1" x14ac:dyDescent="0.25">
      <c r="A203" s="27"/>
      <c r="B203" s="13" t="str">
        <f>CONCATENATE("     ","Subscriptions &amp; Dues                              ")</f>
        <v xml:space="preserve">     Subscriptions &amp; Dues                              </v>
      </c>
      <c r="C203" s="13"/>
      <c r="D203" s="1">
        <f>SUM(OSRRefD22_20x_0)</f>
        <v>307.78999999999996</v>
      </c>
      <c r="E203" s="1"/>
      <c r="F203" s="5">
        <f t="shared" ref="F203:F205" si="114">IF(D$12=0,0,D203/D$12)</f>
        <v>1.6728151959599813E-3</v>
      </c>
      <c r="G203" s="1"/>
      <c r="H203" s="1">
        <f>SUM(OSRRefH22_20x_0)</f>
        <v>1276</v>
      </c>
      <c r="I203" s="1"/>
      <c r="J203" s="5">
        <f t="shared" ref="J203:J205" si="115">IF(H$12=0,0,H203/H$12)</f>
        <v>2.479456074181595E-3</v>
      </c>
      <c r="K203" s="1"/>
      <c r="L203" s="1">
        <f t="shared" ref="L203:L205" si="116">+D203-H203</f>
        <v>-968.21</v>
      </c>
      <c r="M203" s="1"/>
      <c r="N203" s="5">
        <f t="shared" ref="N203:N205" si="117">IF(H203=0,0,L203/H203)</f>
        <v>-0.7587852664576803</v>
      </c>
      <c r="O203" s="13"/>
      <c r="P203" s="1">
        <f>SUM(OSRRefP22_20x_0)</f>
        <v>4334.33</v>
      </c>
      <c r="Q203" s="1"/>
      <c r="R203" s="5">
        <f t="shared" ref="R203:R205" si="118">IF(P$12=0,0,P203/P$12)</f>
        <v>1.0157806095744352E-3</v>
      </c>
      <c r="S203" s="1"/>
      <c r="T203" s="1">
        <f>SUM(OSRRefT22_20x_0)</f>
        <v>12879</v>
      </c>
      <c r="U203" s="1"/>
      <c r="V203" s="5">
        <f t="shared" ref="V203:V205" si="119">IF(T$12=0,0,T203/T$12)</f>
        <v>1.5744985755671906E-3</v>
      </c>
      <c r="W203" s="1"/>
      <c r="X203" s="1">
        <f t="shared" ref="X203:X205" si="120">+P203-T203</f>
        <v>-8544.67</v>
      </c>
      <c r="Y203" s="1"/>
      <c r="Z203" s="5">
        <f t="shared" ref="Z203:Z205" si="121">IF(T203=0,0,X203/T203)</f>
        <v>-0.66345756658125632</v>
      </c>
    </row>
    <row r="204" spans="1:26" s="24" customFormat="1" hidden="1" outlineLevel="2" x14ac:dyDescent="0.25">
      <c r="A204" s="26"/>
      <c r="B204" s="11" t="str">
        <f>CONCATENATE("          ", "6258", " - ", "MEMBERSHIP DUES")</f>
        <v xml:space="preserve">          6258 - MEMBERSHIP DUES</v>
      </c>
      <c r="C204" s="11"/>
      <c r="D204" s="7">
        <v>232.79</v>
      </c>
      <c r="E204" s="2"/>
      <c r="F204" s="6">
        <f t="shared" si="114"/>
        <v>1.2651959110676892E-3</v>
      </c>
      <c r="G204" s="2"/>
      <c r="H204" s="7">
        <v>1100</v>
      </c>
      <c r="I204" s="2"/>
      <c r="J204" s="6">
        <f t="shared" si="115"/>
        <v>2.1374621329151682E-3</v>
      </c>
      <c r="K204" s="2"/>
      <c r="L204" s="7">
        <f t="shared" si="116"/>
        <v>-867.21</v>
      </c>
      <c r="M204" s="2"/>
      <c r="N204" s="6">
        <f t="shared" si="117"/>
        <v>-0.78837272727272734</v>
      </c>
      <c r="O204" s="11"/>
      <c r="P204" s="7">
        <v>2106.52</v>
      </c>
      <c r="Q204" s="2"/>
      <c r="R204" s="6">
        <f t="shared" si="118"/>
        <v>4.9367772404979298E-4</v>
      </c>
      <c r="S204" s="2"/>
      <c r="T204" s="7">
        <v>11295</v>
      </c>
      <c r="U204" s="2"/>
      <c r="V204" s="6">
        <f t="shared" si="119"/>
        <v>1.3808495543933084E-3</v>
      </c>
      <c r="W204" s="2"/>
      <c r="X204" s="7">
        <f t="shared" si="120"/>
        <v>-9188.48</v>
      </c>
      <c r="Y204" s="2"/>
      <c r="Z204" s="6">
        <f t="shared" si="121"/>
        <v>-0.81349977866312528</v>
      </c>
    </row>
    <row r="205" spans="1:26" s="24" customFormat="1" hidden="1" outlineLevel="2" x14ac:dyDescent="0.25">
      <c r="A205" s="26"/>
      <c r="B205" s="11" t="str">
        <f>CONCATENATE("          ", "6275", " - ", "SUBSCRIPTIONS")</f>
        <v xml:space="preserve">          6275 - SUBSCRIPTIONS</v>
      </c>
      <c r="C205" s="11"/>
      <c r="D205" s="7">
        <v>75</v>
      </c>
      <c r="E205" s="2"/>
      <c r="F205" s="6">
        <f t="shared" si="114"/>
        <v>4.0761928489229217E-4</v>
      </c>
      <c r="G205" s="2"/>
      <c r="H205" s="7">
        <v>176</v>
      </c>
      <c r="I205" s="2"/>
      <c r="J205" s="6">
        <f t="shared" si="115"/>
        <v>3.4199394126642691E-4</v>
      </c>
      <c r="K205" s="2"/>
      <c r="L205" s="7">
        <f t="shared" si="116"/>
        <v>-101</v>
      </c>
      <c r="M205" s="2"/>
      <c r="N205" s="6">
        <f t="shared" si="117"/>
        <v>-0.57386363636363635</v>
      </c>
      <c r="O205" s="11"/>
      <c r="P205" s="7">
        <v>2227.81</v>
      </c>
      <c r="Q205" s="2"/>
      <c r="R205" s="6">
        <f t="shared" si="118"/>
        <v>5.221028855246422E-4</v>
      </c>
      <c r="S205" s="2"/>
      <c r="T205" s="7">
        <v>1584</v>
      </c>
      <c r="U205" s="2"/>
      <c r="V205" s="6">
        <f t="shared" si="119"/>
        <v>1.9364902117388228E-4</v>
      </c>
      <c r="W205" s="2"/>
      <c r="X205" s="7">
        <f t="shared" si="120"/>
        <v>643.80999999999995</v>
      </c>
      <c r="Y205" s="2"/>
      <c r="Z205" s="6">
        <f t="shared" si="121"/>
        <v>0.40644570707070704</v>
      </c>
    </row>
    <row r="206" spans="1:26" s="25" customFormat="1" outlineLevel="1" collapsed="1" x14ac:dyDescent="0.25">
      <c r="A206" s="27"/>
      <c r="B206" s="13" t="str">
        <f>CONCATENATE("     ","Supplies                                          ")</f>
        <v xml:space="preserve">     Supplies                                          </v>
      </c>
      <c r="C206" s="13"/>
      <c r="D206" s="1">
        <f>SUM(OSRRefD22_21x_0)</f>
        <v>4097.66</v>
      </c>
      <c r="E206" s="1"/>
      <c r="F206" s="5">
        <f t="shared" ref="F206:F215" si="122">IF(D$12=0,0,D206/D$12)</f>
        <v>2.2270469852423331E-2</v>
      </c>
      <c r="G206" s="1"/>
      <c r="H206" s="1">
        <f>SUM(OSRRefH22_21x_0)</f>
        <v>13278</v>
      </c>
      <c r="I206" s="1"/>
      <c r="J206" s="5">
        <f t="shared" ref="J206:J215" si="123">IF(H$12=0,0,H206/H$12)</f>
        <v>2.5801111091679638E-2</v>
      </c>
      <c r="K206" s="1"/>
      <c r="L206" s="1">
        <f t="shared" ref="L206:L215" si="124">+D206-H206</f>
        <v>-9180.34</v>
      </c>
      <c r="M206" s="1"/>
      <c r="N206" s="5">
        <f t="shared" ref="N206:N215" si="125">IF(H206=0,0,L206/H206)</f>
        <v>-0.69139478837174273</v>
      </c>
      <c r="O206" s="13"/>
      <c r="P206" s="1">
        <f>SUM(OSRRefP22_21x_0)</f>
        <v>104098.35999999999</v>
      </c>
      <c r="Q206" s="1"/>
      <c r="R206" s="5">
        <f t="shared" ref="R206:R215" si="126">IF(P$12=0,0,P206/P$12)</f>
        <v>2.439618016544633E-2</v>
      </c>
      <c r="S206" s="1"/>
      <c r="T206" s="1">
        <f>SUM(OSRRefT22_21x_0)</f>
        <v>154327</v>
      </c>
      <c r="U206" s="1"/>
      <c r="V206" s="5">
        <f t="shared" ref="V206:V215" si="127">IF(T$12=0,0,T206/T$12)</f>
        <v>1.8866964956251092E-2</v>
      </c>
      <c r="W206" s="1"/>
      <c r="X206" s="1">
        <f t="shared" ref="X206:X215" si="128">+P206-T206</f>
        <v>-50228.640000000014</v>
      </c>
      <c r="Y206" s="1"/>
      <c r="Z206" s="5">
        <f t="shared" ref="Z206:Z215" si="129">IF(T206=0,0,X206/T206)</f>
        <v>-0.32546890693138603</v>
      </c>
    </row>
    <row r="207" spans="1:26" s="24" customFormat="1" hidden="1" outlineLevel="2" x14ac:dyDescent="0.25">
      <c r="A207" s="26"/>
      <c r="B207" s="11" t="str">
        <f>CONCATENATE("          ", "6234", " - ", "EXPENDABLE SUPPLIES &amp; EQUIPMEN")</f>
        <v xml:space="preserve">          6234 - EXPENDABLE SUPPLIES &amp; EQUIPMEN</v>
      </c>
      <c r="C207" s="11"/>
      <c r="D207" s="7"/>
      <c r="E207" s="2"/>
      <c r="F207" s="6">
        <f t="shared" si="122"/>
        <v>0</v>
      </c>
      <c r="G207" s="2"/>
      <c r="H207" s="7">
        <v>150</v>
      </c>
      <c r="I207" s="2"/>
      <c r="J207" s="6">
        <f t="shared" si="123"/>
        <v>2.9147210903388655E-4</v>
      </c>
      <c r="K207" s="2"/>
      <c r="L207" s="7">
        <f t="shared" si="124"/>
        <v>-150</v>
      </c>
      <c r="M207" s="2"/>
      <c r="N207" s="6">
        <f t="shared" si="125"/>
        <v>-1</v>
      </c>
      <c r="O207" s="11"/>
      <c r="P207" s="7">
        <v>263.83</v>
      </c>
      <c r="Q207" s="2"/>
      <c r="R207" s="6">
        <f t="shared" si="126"/>
        <v>6.1830409365235973E-5</v>
      </c>
      <c r="S207" s="2"/>
      <c r="T207" s="7">
        <v>1378</v>
      </c>
      <c r="U207" s="2"/>
      <c r="V207" s="6">
        <f t="shared" si="127"/>
        <v>1.6846486816768293E-4</v>
      </c>
      <c r="W207" s="2"/>
      <c r="X207" s="7">
        <f t="shared" si="128"/>
        <v>-1114.17</v>
      </c>
      <c r="Y207" s="2"/>
      <c r="Z207" s="6">
        <f t="shared" si="129"/>
        <v>-0.80854136429608137</v>
      </c>
    </row>
    <row r="208" spans="1:26" s="24" customFormat="1" hidden="1" outlineLevel="2" x14ac:dyDescent="0.25">
      <c r="A208" s="26"/>
      <c r="B208" s="11" t="str">
        <f>CONCATENATE("          ", "6235", " - ", "COVID-19 EXPENSES")</f>
        <v xml:space="preserve">          6235 - COVID-19 EXPENSES</v>
      </c>
      <c r="C208" s="11"/>
      <c r="D208" s="7">
        <v>370.83</v>
      </c>
      <c r="E208" s="2"/>
      <c r="F208" s="6">
        <f t="shared" si="122"/>
        <v>2.0154327922214492E-3</v>
      </c>
      <c r="G208" s="2"/>
      <c r="H208" s="7">
        <v>900</v>
      </c>
      <c r="I208" s="2"/>
      <c r="J208" s="6">
        <f t="shared" si="123"/>
        <v>1.7488326542033192E-3</v>
      </c>
      <c r="K208" s="2"/>
      <c r="L208" s="7">
        <f t="shared" si="124"/>
        <v>-529.17000000000007</v>
      </c>
      <c r="M208" s="2"/>
      <c r="N208" s="6">
        <f t="shared" si="125"/>
        <v>-0.58796666666666675</v>
      </c>
      <c r="O208" s="11"/>
      <c r="P208" s="7">
        <v>37869.269999999997</v>
      </c>
      <c r="Q208" s="2"/>
      <c r="R208" s="6">
        <f t="shared" si="126"/>
        <v>8.8749288043916512E-3</v>
      </c>
      <c r="S208" s="2"/>
      <c r="T208" s="7">
        <v>68200</v>
      </c>
      <c r="U208" s="2"/>
      <c r="V208" s="6">
        <f t="shared" si="127"/>
        <v>8.3376661894310426E-3</v>
      </c>
      <c r="W208" s="2"/>
      <c r="X208" s="7">
        <f t="shared" si="128"/>
        <v>-30330.730000000003</v>
      </c>
      <c r="Y208" s="2"/>
      <c r="Z208" s="6">
        <f t="shared" si="129"/>
        <v>-0.44473211143695018</v>
      </c>
    </row>
    <row r="209" spans="1:26" s="24" customFormat="1" hidden="1" outlineLevel="2" x14ac:dyDescent="0.25">
      <c r="A209" s="26"/>
      <c r="B209" s="11" t="str">
        <f>CONCATENATE("          ", "6237", " - ", "JANITORIAL SUPPLIES")</f>
        <v xml:space="preserve">          6237 - JANITORIAL SUPPLIES</v>
      </c>
      <c r="C209" s="11"/>
      <c r="D209" s="7">
        <v>637.59</v>
      </c>
      <c r="E209" s="2"/>
      <c r="F209" s="6">
        <f t="shared" si="122"/>
        <v>3.4652530647263547E-3</v>
      </c>
      <c r="G209" s="2"/>
      <c r="H209" s="7">
        <v>501</v>
      </c>
      <c r="I209" s="2"/>
      <c r="J209" s="6">
        <f t="shared" si="123"/>
        <v>9.7351684417318102E-4</v>
      </c>
      <c r="K209" s="2"/>
      <c r="L209" s="7">
        <f t="shared" si="124"/>
        <v>136.59000000000003</v>
      </c>
      <c r="M209" s="2"/>
      <c r="N209" s="6">
        <f t="shared" si="125"/>
        <v>0.27263473053892223</v>
      </c>
      <c r="O209" s="11"/>
      <c r="P209" s="7">
        <v>3218.81</v>
      </c>
      <c r="Q209" s="2"/>
      <c r="R209" s="6">
        <f t="shared" si="126"/>
        <v>7.5435068024453321E-4</v>
      </c>
      <c r="S209" s="2"/>
      <c r="T209" s="7">
        <v>3332</v>
      </c>
      <c r="U209" s="2"/>
      <c r="V209" s="6">
        <f t="shared" si="127"/>
        <v>4.073475622167776E-4</v>
      </c>
      <c r="W209" s="2"/>
      <c r="X209" s="7">
        <f t="shared" si="128"/>
        <v>-113.19000000000005</v>
      </c>
      <c r="Y209" s="2"/>
      <c r="Z209" s="6">
        <f t="shared" si="129"/>
        <v>-3.3970588235294134E-2</v>
      </c>
    </row>
    <row r="210" spans="1:26" s="24" customFormat="1" hidden="1" outlineLevel="2" x14ac:dyDescent="0.25">
      <c r="A210" s="26"/>
      <c r="B210" s="11" t="str">
        <f>CONCATENATE("          ", "6241", " - ", "OFFICE EXPENSE")</f>
        <v xml:space="preserve">          6241 - OFFICE EXPENSE</v>
      </c>
      <c r="C210" s="11"/>
      <c r="D210" s="7">
        <v>496.61</v>
      </c>
      <c r="E210" s="2"/>
      <c r="F210" s="6">
        <f t="shared" si="122"/>
        <v>2.6990375076048163E-3</v>
      </c>
      <c r="G210" s="2"/>
      <c r="H210" s="7">
        <v>425</v>
      </c>
      <c r="I210" s="2"/>
      <c r="J210" s="6">
        <f t="shared" si="123"/>
        <v>8.2583764226267853E-4</v>
      </c>
      <c r="K210" s="2"/>
      <c r="L210" s="7">
        <f t="shared" si="124"/>
        <v>71.610000000000014</v>
      </c>
      <c r="M210" s="2"/>
      <c r="N210" s="6">
        <f t="shared" si="125"/>
        <v>0.16849411764705885</v>
      </c>
      <c r="O210" s="11"/>
      <c r="P210" s="7">
        <v>10484.459999999999</v>
      </c>
      <c r="Q210" s="2"/>
      <c r="R210" s="6">
        <f t="shared" si="126"/>
        <v>2.4571066738939542E-3</v>
      </c>
      <c r="S210" s="2"/>
      <c r="T210" s="7">
        <v>5025</v>
      </c>
      <c r="U210" s="2"/>
      <c r="V210" s="6">
        <f t="shared" si="127"/>
        <v>6.1432217891335759E-4</v>
      </c>
      <c r="W210" s="2"/>
      <c r="X210" s="7">
        <f t="shared" si="128"/>
        <v>5459.4599999999991</v>
      </c>
      <c r="Y210" s="2"/>
      <c r="Z210" s="6">
        <f t="shared" si="129"/>
        <v>1.0864597014925372</v>
      </c>
    </row>
    <row r="211" spans="1:26" s="24" customFormat="1" hidden="1" outlineLevel="2" x14ac:dyDescent="0.25">
      <c r="A211" s="26"/>
      <c r="B211" s="11" t="str">
        <f>CONCATENATE("          ", "6243", " - ", "PAPER SUPPLIES")</f>
        <v xml:space="preserve">          6243 - PAPER SUPPLIES</v>
      </c>
      <c r="C211" s="11"/>
      <c r="D211" s="7">
        <v>309.25</v>
      </c>
      <c r="E211" s="2"/>
      <c r="F211" s="6">
        <f t="shared" si="122"/>
        <v>1.6807501847058847E-3</v>
      </c>
      <c r="G211" s="2"/>
      <c r="H211" s="7">
        <v>5650</v>
      </c>
      <c r="I211" s="2"/>
      <c r="J211" s="6">
        <f t="shared" si="123"/>
        <v>1.0978782773609726E-2</v>
      </c>
      <c r="K211" s="2"/>
      <c r="L211" s="7">
        <f t="shared" si="124"/>
        <v>-5340.75</v>
      </c>
      <c r="M211" s="2"/>
      <c r="N211" s="6">
        <f t="shared" si="125"/>
        <v>-0.94526548672566368</v>
      </c>
      <c r="O211" s="11"/>
      <c r="P211" s="7">
        <v>6482.65</v>
      </c>
      <c r="Q211" s="2"/>
      <c r="R211" s="6">
        <f t="shared" si="126"/>
        <v>1.5192544565498501E-3</v>
      </c>
      <c r="S211" s="2"/>
      <c r="T211" s="7">
        <v>18522</v>
      </c>
      <c r="U211" s="2"/>
      <c r="V211" s="6">
        <f t="shared" si="127"/>
        <v>2.264373213499146E-3</v>
      </c>
      <c r="W211" s="2"/>
      <c r="X211" s="7">
        <f t="shared" si="128"/>
        <v>-12039.35</v>
      </c>
      <c r="Y211" s="2"/>
      <c r="Z211" s="6">
        <f t="shared" si="129"/>
        <v>-0.65000269949249545</v>
      </c>
    </row>
    <row r="212" spans="1:26" s="24" customFormat="1" hidden="1" outlineLevel="2" x14ac:dyDescent="0.25">
      <c r="A212" s="26"/>
      <c r="B212" s="11" t="str">
        <f>CONCATENATE("          ", "6244", " - ", "SAFETY SUPPLY EXPENSE")</f>
        <v xml:space="preserve">          6244 - SAFETY SUPPLY EXPENSE</v>
      </c>
      <c r="C212" s="11"/>
      <c r="D212" s="7"/>
      <c r="E212" s="2"/>
      <c r="F212" s="6">
        <f t="shared" si="122"/>
        <v>0</v>
      </c>
      <c r="G212" s="2"/>
      <c r="H212" s="7">
        <v>0</v>
      </c>
      <c r="I212" s="2"/>
      <c r="J212" s="6">
        <f t="shared" si="123"/>
        <v>0</v>
      </c>
      <c r="K212" s="2"/>
      <c r="L212" s="7">
        <f t="shared" si="124"/>
        <v>0</v>
      </c>
      <c r="M212" s="2"/>
      <c r="N212" s="6">
        <f t="shared" si="125"/>
        <v>0</v>
      </c>
      <c r="O212" s="11"/>
      <c r="P212" s="7"/>
      <c r="Q212" s="2"/>
      <c r="R212" s="6">
        <f t="shared" si="126"/>
        <v>0</v>
      </c>
      <c r="S212" s="2"/>
      <c r="T212" s="7">
        <v>75</v>
      </c>
      <c r="U212" s="2"/>
      <c r="V212" s="6">
        <f t="shared" si="127"/>
        <v>9.1689877449754866E-6</v>
      </c>
      <c r="W212" s="2"/>
      <c r="X212" s="7">
        <f t="shared" si="128"/>
        <v>-75</v>
      </c>
      <c r="Y212" s="2"/>
      <c r="Z212" s="6">
        <f t="shared" si="129"/>
        <v>-1</v>
      </c>
    </row>
    <row r="213" spans="1:26" s="24" customFormat="1" hidden="1" outlineLevel="2" x14ac:dyDescent="0.25">
      <c r="A213" s="26"/>
      <c r="B213" s="11" t="str">
        <f>CONCATENATE("          ", "6245", " - ", "PRINTING")</f>
        <v xml:space="preserve">          6245 - PRINTING</v>
      </c>
      <c r="C213" s="11"/>
      <c r="D213" s="7">
        <v>447.27</v>
      </c>
      <c r="E213" s="2"/>
      <c r="F213" s="6">
        <f t="shared" si="122"/>
        <v>2.4308783673836734E-3</v>
      </c>
      <c r="G213" s="2"/>
      <c r="H213" s="7">
        <v>350</v>
      </c>
      <c r="I213" s="2"/>
      <c r="J213" s="6">
        <f t="shared" si="123"/>
        <v>6.8010158774573523E-4</v>
      </c>
      <c r="K213" s="2"/>
      <c r="L213" s="7">
        <f t="shared" si="124"/>
        <v>97.269999999999982</v>
      </c>
      <c r="M213" s="2"/>
      <c r="N213" s="6">
        <f t="shared" si="125"/>
        <v>0.27791428571428567</v>
      </c>
      <c r="O213" s="11"/>
      <c r="P213" s="7">
        <v>1354.21</v>
      </c>
      <c r="Q213" s="2"/>
      <c r="R213" s="6">
        <f t="shared" si="126"/>
        <v>3.1736860351929731E-4</v>
      </c>
      <c r="S213" s="2"/>
      <c r="T213" s="7">
        <v>4250</v>
      </c>
      <c r="U213" s="2"/>
      <c r="V213" s="6">
        <f t="shared" si="127"/>
        <v>5.1957597221527756E-4</v>
      </c>
      <c r="W213" s="2"/>
      <c r="X213" s="7">
        <f t="shared" si="128"/>
        <v>-2895.79</v>
      </c>
      <c r="Y213" s="2"/>
      <c r="Z213" s="6">
        <f t="shared" si="129"/>
        <v>-0.68136235294117642</v>
      </c>
    </row>
    <row r="214" spans="1:26" s="24" customFormat="1" hidden="1" outlineLevel="2" x14ac:dyDescent="0.25">
      <c r="A214" s="26"/>
      <c r="B214" s="11" t="str">
        <f>CONCATENATE("          ", "6247", " - ", "STORE SUPPLIES")</f>
        <v xml:space="preserve">          6247 - STORE SUPPLIES</v>
      </c>
      <c r="C214" s="11"/>
      <c r="D214" s="7">
        <v>1836.11</v>
      </c>
      <c r="E214" s="2"/>
      <c r="F214" s="6">
        <f t="shared" si="122"/>
        <v>9.9791179357811548E-3</v>
      </c>
      <c r="G214" s="2"/>
      <c r="H214" s="7">
        <v>3802</v>
      </c>
      <c r="I214" s="2"/>
      <c r="J214" s="6">
        <f t="shared" si="123"/>
        <v>7.3878463903122443E-3</v>
      </c>
      <c r="K214" s="2"/>
      <c r="L214" s="7">
        <f t="shared" si="124"/>
        <v>-1965.89</v>
      </c>
      <c r="M214" s="2"/>
      <c r="N214" s="6">
        <f t="shared" si="125"/>
        <v>-0.51706733298264074</v>
      </c>
      <c r="O214" s="11"/>
      <c r="P214" s="7">
        <v>44425.13</v>
      </c>
      <c r="Q214" s="2"/>
      <c r="R214" s="6">
        <f t="shared" si="126"/>
        <v>1.0411340537481807E-2</v>
      </c>
      <c r="S214" s="2"/>
      <c r="T214" s="7">
        <v>39645</v>
      </c>
      <c r="U214" s="2"/>
      <c r="V214" s="6">
        <f t="shared" si="127"/>
        <v>4.8467269219940419E-3</v>
      </c>
      <c r="W214" s="2"/>
      <c r="X214" s="7">
        <f t="shared" si="128"/>
        <v>4780.1299999999974</v>
      </c>
      <c r="Y214" s="2"/>
      <c r="Z214" s="6">
        <f t="shared" si="129"/>
        <v>0.12057333837810562</v>
      </c>
    </row>
    <row r="215" spans="1:26" s="24" customFormat="1" hidden="1" outlineLevel="2" x14ac:dyDescent="0.25">
      <c r="A215" s="26"/>
      <c r="B215" s="11" t="str">
        <f>CONCATENATE("          ", "6248", " - ", "UNIFORMS")</f>
        <v xml:space="preserve">          6248 - UNIFORMS</v>
      </c>
      <c r="C215" s="11"/>
      <c r="D215" s="7"/>
      <c r="E215" s="2"/>
      <c r="F215" s="6">
        <f t="shared" si="122"/>
        <v>0</v>
      </c>
      <c r="G215" s="2"/>
      <c r="H215" s="7">
        <v>1500</v>
      </c>
      <c r="I215" s="2"/>
      <c r="J215" s="6">
        <f t="shared" si="123"/>
        <v>2.9147210903388656E-3</v>
      </c>
      <c r="K215" s="2"/>
      <c r="L215" s="7">
        <f t="shared" si="124"/>
        <v>-1500</v>
      </c>
      <c r="M215" s="2"/>
      <c r="N215" s="6">
        <f t="shared" si="125"/>
        <v>-1</v>
      </c>
      <c r="O215" s="11"/>
      <c r="P215" s="7"/>
      <c r="Q215" s="2"/>
      <c r="R215" s="6">
        <f t="shared" si="126"/>
        <v>0</v>
      </c>
      <c r="S215" s="2"/>
      <c r="T215" s="7">
        <v>13900</v>
      </c>
      <c r="U215" s="2"/>
      <c r="V215" s="6">
        <f t="shared" si="127"/>
        <v>1.6993190620687901E-3</v>
      </c>
      <c r="W215" s="2"/>
      <c r="X215" s="7">
        <f t="shared" si="128"/>
        <v>-13900</v>
      </c>
      <c r="Y215" s="2"/>
      <c r="Z215" s="6">
        <f t="shared" si="129"/>
        <v>-1</v>
      </c>
    </row>
    <row r="216" spans="1:26" s="25" customFormat="1" outlineLevel="1" collapsed="1" x14ac:dyDescent="0.25">
      <c r="A216" s="27"/>
      <c r="B216" s="13" t="str">
        <f>CONCATENATE("     ","Telephone/Data Lines                              ")</f>
        <v xml:space="preserve">     Telephone/Data Lines                              </v>
      </c>
      <c r="C216" s="13"/>
      <c r="D216" s="1">
        <f>SUM(OSRRefD22_22x_0)</f>
        <v>1621.52</v>
      </c>
      <c r="E216" s="1"/>
      <c r="F216" s="5">
        <f t="shared" ref="F216:F218" si="130">IF(D$12=0,0,D216/D$12)</f>
        <v>8.8128376378473275E-3</v>
      </c>
      <c r="G216" s="1"/>
      <c r="H216" s="1">
        <f>SUM(OSRRefH22_22x_0)</f>
        <v>2530</v>
      </c>
      <c r="I216" s="1"/>
      <c r="J216" s="5">
        <f t="shared" ref="J216:J218" si="131">IF(H$12=0,0,H216/H$12)</f>
        <v>4.9161629057048861E-3</v>
      </c>
      <c r="K216" s="1"/>
      <c r="L216" s="1">
        <f t="shared" ref="L216:L218" si="132">+D216-H216</f>
        <v>-908.48</v>
      </c>
      <c r="M216" s="1"/>
      <c r="N216" s="5">
        <f t="shared" ref="N216:N218" si="133">IF(H216=0,0,L216/H216)</f>
        <v>-0.3590830039525692</v>
      </c>
      <c r="O216" s="13"/>
      <c r="P216" s="1">
        <f>SUM(OSRRefP22_22x_0)</f>
        <v>23061.56</v>
      </c>
      <c r="Q216" s="1"/>
      <c r="R216" s="5">
        <f t="shared" ref="R216:R218" si="134">IF(P$12=0,0,P216/P$12)</f>
        <v>5.4046381965695764E-3</v>
      </c>
      <c r="S216" s="1"/>
      <c r="T216" s="1">
        <f>SUM(OSRRefT22_22x_0)</f>
        <v>25515</v>
      </c>
      <c r="U216" s="1"/>
      <c r="V216" s="5">
        <f t="shared" ref="V216:V218" si="135">IF(T$12=0,0,T216/T$12)</f>
        <v>3.1192896308406604E-3</v>
      </c>
      <c r="W216" s="1"/>
      <c r="X216" s="1">
        <f t="shared" ref="X216:X218" si="136">+P216-T216</f>
        <v>-2453.4399999999987</v>
      </c>
      <c r="Y216" s="1"/>
      <c r="Z216" s="5">
        <f t="shared" ref="Z216:Z218" si="137">IF(T216=0,0,X216/T216)</f>
        <v>-9.6156770527140847E-2</v>
      </c>
    </row>
    <row r="217" spans="1:26" s="24" customFormat="1" hidden="1" outlineLevel="2" x14ac:dyDescent="0.25">
      <c r="A217" s="26"/>
      <c r="B217" s="11" t="str">
        <f>CONCATENATE("          ", "6303", " - ", "DATA PHONE LINES")</f>
        <v xml:space="preserve">          6303 - DATA PHONE LINES</v>
      </c>
      <c r="C217" s="11"/>
      <c r="D217" s="7"/>
      <c r="E217" s="2"/>
      <c r="F217" s="6">
        <f t="shared" si="130"/>
        <v>0</v>
      </c>
      <c r="G217" s="2"/>
      <c r="H217" s="7">
        <v>865</v>
      </c>
      <c r="I217" s="2"/>
      <c r="J217" s="6">
        <f t="shared" si="131"/>
        <v>1.6808224954287458E-3</v>
      </c>
      <c r="K217" s="2"/>
      <c r="L217" s="7">
        <f t="shared" si="132"/>
        <v>-865</v>
      </c>
      <c r="M217" s="2"/>
      <c r="N217" s="6">
        <f t="shared" si="133"/>
        <v>-1</v>
      </c>
      <c r="O217" s="11"/>
      <c r="P217" s="7">
        <v>2950</v>
      </c>
      <c r="Q217" s="2"/>
      <c r="R217" s="6">
        <f t="shared" si="134"/>
        <v>6.913531729805031E-4</v>
      </c>
      <c r="S217" s="2"/>
      <c r="T217" s="7">
        <v>7780</v>
      </c>
      <c r="U217" s="2"/>
      <c r="V217" s="6">
        <f t="shared" si="135"/>
        <v>9.5112966207879044E-4</v>
      </c>
      <c r="W217" s="2"/>
      <c r="X217" s="7">
        <f t="shared" si="136"/>
        <v>-4830</v>
      </c>
      <c r="Y217" s="2"/>
      <c r="Z217" s="6">
        <f t="shared" si="137"/>
        <v>-0.62082262210796912</v>
      </c>
    </row>
    <row r="218" spans="1:26" s="24" customFormat="1" hidden="1" outlineLevel="2" x14ac:dyDescent="0.25">
      <c r="A218" s="26"/>
      <c r="B218" s="11" t="str">
        <f>CONCATENATE("          ", "6309", " - ", "TELEPHONE")</f>
        <v xml:space="preserve">          6309 - TELEPHONE</v>
      </c>
      <c r="C218" s="11"/>
      <c r="D218" s="7">
        <v>1621.52</v>
      </c>
      <c r="E218" s="2"/>
      <c r="F218" s="6">
        <f t="shared" si="130"/>
        <v>8.8128376378473275E-3</v>
      </c>
      <c r="G218" s="2"/>
      <c r="H218" s="7">
        <v>1665</v>
      </c>
      <c r="I218" s="2"/>
      <c r="J218" s="6">
        <f t="shared" si="131"/>
        <v>3.2353404102761405E-3</v>
      </c>
      <c r="K218" s="2"/>
      <c r="L218" s="7">
        <f t="shared" si="132"/>
        <v>-43.480000000000018</v>
      </c>
      <c r="M218" s="2"/>
      <c r="N218" s="6">
        <f t="shared" si="133"/>
        <v>-2.6114114114114125E-2</v>
      </c>
      <c r="O218" s="11"/>
      <c r="P218" s="7">
        <v>20111.560000000001</v>
      </c>
      <c r="Q218" s="2"/>
      <c r="R218" s="6">
        <f t="shared" si="134"/>
        <v>4.7132850235890736E-3</v>
      </c>
      <c r="S218" s="2"/>
      <c r="T218" s="7">
        <v>17735</v>
      </c>
      <c r="U218" s="2"/>
      <c r="V218" s="6">
        <f t="shared" si="135"/>
        <v>2.16815996876187E-3</v>
      </c>
      <c r="W218" s="2"/>
      <c r="X218" s="7">
        <f t="shared" si="136"/>
        <v>2376.5600000000013</v>
      </c>
      <c r="Y218" s="2"/>
      <c r="Z218" s="6">
        <f t="shared" si="137"/>
        <v>0.13400394699746271</v>
      </c>
    </row>
    <row r="219" spans="1:26" s="25" customFormat="1" outlineLevel="1" collapsed="1" x14ac:dyDescent="0.25">
      <c r="A219" s="27"/>
      <c r="B219" s="13" t="str">
        <f>CONCATENATE("     ","Training                                          ")</f>
        <v xml:space="preserve">     Training                                          </v>
      </c>
      <c r="C219" s="13"/>
      <c r="D219" s="1">
        <f>SUM(OSRRefD22_23x_0)</f>
        <v>0</v>
      </c>
      <c r="E219" s="1"/>
      <c r="F219" s="5">
        <f t="shared" ref="F219:F224" si="138">IF(D$12=0,0,D219/D$12)</f>
        <v>0</v>
      </c>
      <c r="G219" s="1"/>
      <c r="H219" s="1">
        <f>SUM(OSRRefH22_23x_0)</f>
        <v>0</v>
      </c>
      <c r="I219" s="1"/>
      <c r="J219" s="5">
        <f t="shared" ref="J219:J224" si="139">IF(H$12=0,0,H219/H$12)</f>
        <v>0</v>
      </c>
      <c r="K219" s="1"/>
      <c r="L219" s="1">
        <f t="shared" ref="L219:L224" si="140">+D219-H219</f>
        <v>0</v>
      </c>
      <c r="M219" s="1"/>
      <c r="N219" s="5">
        <f t="shared" ref="N219:N224" si="141">IF(H219=0,0,L219/H219)</f>
        <v>0</v>
      </c>
      <c r="O219" s="13"/>
      <c r="P219" s="1">
        <f>SUM(OSRRefP22_23x_0)</f>
        <v>895.63</v>
      </c>
      <c r="Q219" s="1"/>
      <c r="R219" s="5">
        <f t="shared" ref="R219:R224" si="142">IF(P$12=0,0,P219/P$12)</f>
        <v>2.0989716688695861E-4</v>
      </c>
      <c r="S219" s="1"/>
      <c r="T219" s="1">
        <f>SUM(OSRRefT22_23x_0)</f>
        <v>12210</v>
      </c>
      <c r="U219" s="1"/>
      <c r="V219" s="5">
        <f t="shared" ref="V219:V224" si="143">IF(T$12=0,0,T219/T$12)</f>
        <v>1.4927112048820092E-3</v>
      </c>
      <c r="W219" s="1"/>
      <c r="X219" s="1">
        <f t="shared" ref="X219:X224" si="144">+P219-T219</f>
        <v>-11314.37</v>
      </c>
      <c r="Y219" s="1"/>
      <c r="Z219" s="5">
        <f t="shared" ref="Z219:Z224" si="145">IF(T219=0,0,X219/T219)</f>
        <v>-0.92664782964782977</v>
      </c>
    </row>
    <row r="220" spans="1:26" s="24" customFormat="1" hidden="1" outlineLevel="2" x14ac:dyDescent="0.25">
      <c r="A220" s="26"/>
      <c r="B220" s="11" t="str">
        <f>CONCATENATE("          ", "6376", " - ", "TRAINING")</f>
        <v xml:space="preserve">          6376 - TRAINING</v>
      </c>
      <c r="C220" s="11"/>
      <c r="D220" s="7"/>
      <c r="E220" s="2"/>
      <c r="F220" s="6">
        <f t="shared" si="138"/>
        <v>0</v>
      </c>
      <c r="G220" s="2"/>
      <c r="H220" s="7">
        <v>0</v>
      </c>
      <c r="I220" s="2"/>
      <c r="J220" s="6">
        <f t="shared" si="139"/>
        <v>0</v>
      </c>
      <c r="K220" s="2"/>
      <c r="L220" s="7">
        <f t="shared" si="140"/>
        <v>0</v>
      </c>
      <c r="M220" s="2"/>
      <c r="N220" s="6">
        <f t="shared" si="141"/>
        <v>0</v>
      </c>
      <c r="O220" s="11"/>
      <c r="P220" s="7">
        <v>895.63</v>
      </c>
      <c r="Q220" s="2"/>
      <c r="R220" s="6">
        <f t="shared" si="142"/>
        <v>2.0989716688695861E-4</v>
      </c>
      <c r="S220" s="2"/>
      <c r="T220" s="7">
        <v>12210</v>
      </c>
      <c r="U220" s="2"/>
      <c r="V220" s="6">
        <f t="shared" si="143"/>
        <v>1.4927112048820092E-3</v>
      </c>
      <c r="W220" s="2"/>
      <c r="X220" s="7">
        <f t="shared" si="144"/>
        <v>-11314.37</v>
      </c>
      <c r="Y220" s="2"/>
      <c r="Z220" s="6">
        <f t="shared" si="145"/>
        <v>-0.92664782964782977</v>
      </c>
    </row>
    <row r="221" spans="1:26" s="25" customFormat="1" outlineLevel="1" collapsed="1" x14ac:dyDescent="0.25">
      <c r="A221" s="27"/>
      <c r="B221" s="13" t="str">
        <f>CONCATENATE("     ","Travel                                            ")</f>
        <v xml:space="preserve">     Travel                                            </v>
      </c>
      <c r="C221" s="13"/>
      <c r="D221" s="1">
        <f>SUM(OSRRefD22_24x_0)</f>
        <v>93.02</v>
      </c>
      <c r="E221" s="1"/>
      <c r="F221" s="5">
        <f t="shared" si="138"/>
        <v>5.0555661174241356E-4</v>
      </c>
      <c r="G221" s="1"/>
      <c r="H221" s="1">
        <f>SUM(OSRRefH22_24x_0)</f>
        <v>50</v>
      </c>
      <c r="I221" s="1"/>
      <c r="J221" s="5">
        <f t="shared" si="139"/>
        <v>9.7157369677962184E-5</v>
      </c>
      <c r="K221" s="1"/>
      <c r="L221" s="1">
        <f t="shared" si="140"/>
        <v>43.019999999999996</v>
      </c>
      <c r="M221" s="1"/>
      <c r="N221" s="5">
        <f t="shared" si="141"/>
        <v>0.86039999999999994</v>
      </c>
      <c r="O221" s="13"/>
      <c r="P221" s="1">
        <f>SUM(OSRRefP22_24x_0)</f>
        <v>903.33</v>
      </c>
      <c r="Q221" s="1"/>
      <c r="R221" s="5">
        <f t="shared" si="142"/>
        <v>2.1170171584694163E-4</v>
      </c>
      <c r="S221" s="1"/>
      <c r="T221" s="1">
        <f>SUM(OSRRefT22_24x_0)</f>
        <v>2150</v>
      </c>
      <c r="U221" s="1"/>
      <c r="V221" s="5">
        <f t="shared" si="143"/>
        <v>2.6284431535596392E-4</v>
      </c>
      <c r="W221" s="1"/>
      <c r="X221" s="1">
        <f t="shared" si="144"/>
        <v>-1246.67</v>
      </c>
      <c r="Y221" s="1"/>
      <c r="Z221" s="5">
        <f t="shared" si="145"/>
        <v>-0.57984651162790701</v>
      </c>
    </row>
    <row r="222" spans="1:26" s="24" customFormat="1" hidden="1" outlineLevel="2" x14ac:dyDescent="0.25">
      <c r="A222" s="26"/>
      <c r="B222" s="11" t="str">
        <f>CONCATENATE("          ", "6292", " - ", "TRAVEL/CONFERENCE")</f>
        <v xml:space="preserve">          6292 - TRAVEL/CONFERENCE</v>
      </c>
      <c r="C222" s="11"/>
      <c r="D222" s="7"/>
      <c r="E222" s="2"/>
      <c r="F222" s="6">
        <f t="shared" si="138"/>
        <v>0</v>
      </c>
      <c r="G222" s="2"/>
      <c r="H222" s="7"/>
      <c r="I222" s="2"/>
      <c r="J222" s="6">
        <f t="shared" si="139"/>
        <v>0</v>
      </c>
      <c r="K222" s="2"/>
      <c r="L222" s="7">
        <f t="shared" si="140"/>
        <v>0</v>
      </c>
      <c r="M222" s="2"/>
      <c r="N222" s="6">
        <f t="shared" si="141"/>
        <v>0</v>
      </c>
      <c r="O222" s="11"/>
      <c r="P222" s="7">
        <v>299.16000000000003</v>
      </c>
      <c r="Q222" s="2"/>
      <c r="R222" s="6">
        <f t="shared" si="142"/>
        <v>7.0110242450456716E-5</v>
      </c>
      <c r="S222" s="2"/>
      <c r="T222" s="7">
        <v>1500</v>
      </c>
      <c r="U222" s="2"/>
      <c r="V222" s="6">
        <f t="shared" si="143"/>
        <v>1.8337975489950972E-4</v>
      </c>
      <c r="W222" s="2"/>
      <c r="X222" s="7">
        <f t="shared" si="144"/>
        <v>-1200.8399999999999</v>
      </c>
      <c r="Y222" s="2"/>
      <c r="Z222" s="6">
        <f t="shared" si="145"/>
        <v>-0.80055999999999994</v>
      </c>
    </row>
    <row r="223" spans="1:26" s="24" customFormat="1" hidden="1" outlineLevel="2" x14ac:dyDescent="0.25">
      <c r="A223" s="26"/>
      <c r="B223" s="11" t="str">
        <f>CONCATENATE("          ", "6294", " - ", "TRAVEL OPERATIONAL")</f>
        <v xml:space="preserve">          6294 - TRAVEL OPERATIONAL</v>
      </c>
      <c r="C223" s="11"/>
      <c r="D223" s="7">
        <v>93.02</v>
      </c>
      <c r="E223" s="2"/>
      <c r="F223" s="6">
        <f t="shared" si="138"/>
        <v>5.0555661174241356E-4</v>
      </c>
      <c r="G223" s="2"/>
      <c r="H223" s="7">
        <v>25</v>
      </c>
      <c r="I223" s="2"/>
      <c r="J223" s="6">
        <f t="shared" si="139"/>
        <v>4.8578684838981092E-5</v>
      </c>
      <c r="K223" s="2"/>
      <c r="L223" s="7">
        <f t="shared" si="140"/>
        <v>68.02</v>
      </c>
      <c r="M223" s="2"/>
      <c r="N223" s="6">
        <f t="shared" si="141"/>
        <v>2.7207999999999997</v>
      </c>
      <c r="O223" s="11"/>
      <c r="P223" s="7">
        <v>544.28</v>
      </c>
      <c r="Q223" s="2"/>
      <c r="R223" s="6">
        <f t="shared" si="142"/>
        <v>1.2755583219994175E-4</v>
      </c>
      <c r="S223" s="2"/>
      <c r="T223" s="7">
        <v>225</v>
      </c>
      <c r="U223" s="2"/>
      <c r="V223" s="6">
        <f t="shared" si="143"/>
        <v>2.750696323492646E-5</v>
      </c>
      <c r="W223" s="2"/>
      <c r="X223" s="7">
        <f t="shared" si="144"/>
        <v>319.27999999999997</v>
      </c>
      <c r="Y223" s="2"/>
      <c r="Z223" s="6">
        <f t="shared" si="145"/>
        <v>1.4190222222222222</v>
      </c>
    </row>
    <row r="224" spans="1:26" s="24" customFormat="1" hidden="1" outlineLevel="2" x14ac:dyDescent="0.25">
      <c r="A224" s="26"/>
      <c r="B224" s="11" t="str">
        <f>CONCATENATE("          ", "6298", " - ", "VEHICLE MILEAGE")</f>
        <v xml:space="preserve">          6298 - VEHICLE MILEAGE</v>
      </c>
      <c r="C224" s="11"/>
      <c r="D224" s="7"/>
      <c r="E224" s="2"/>
      <c r="F224" s="6">
        <f t="shared" si="138"/>
        <v>0</v>
      </c>
      <c r="G224" s="2"/>
      <c r="H224" s="7">
        <v>25</v>
      </c>
      <c r="I224" s="2"/>
      <c r="J224" s="6">
        <f t="shared" si="139"/>
        <v>4.8578684838981092E-5</v>
      </c>
      <c r="K224" s="2"/>
      <c r="L224" s="7">
        <f t="shared" si="140"/>
        <v>-25</v>
      </c>
      <c r="M224" s="2"/>
      <c r="N224" s="6">
        <f t="shared" si="141"/>
        <v>-1</v>
      </c>
      <c r="O224" s="11"/>
      <c r="P224" s="7">
        <v>59.89</v>
      </c>
      <c r="Q224" s="2"/>
      <c r="R224" s="6">
        <f t="shared" si="142"/>
        <v>1.4035641196543162E-5</v>
      </c>
      <c r="S224" s="2"/>
      <c r="T224" s="7">
        <v>425</v>
      </c>
      <c r="U224" s="2"/>
      <c r="V224" s="6">
        <f t="shared" si="143"/>
        <v>5.1957597221527756E-5</v>
      </c>
      <c r="W224" s="2"/>
      <c r="X224" s="7">
        <f t="shared" si="144"/>
        <v>-365.11</v>
      </c>
      <c r="Y224" s="2"/>
      <c r="Z224" s="6">
        <f t="shared" si="145"/>
        <v>-0.85908235294117652</v>
      </c>
    </row>
    <row r="225" spans="1:26" s="25" customFormat="1" outlineLevel="1" collapsed="1" x14ac:dyDescent="0.25">
      <c r="A225" s="27"/>
      <c r="B225" s="13" t="str">
        <f>CONCATENATE("     ","Utilities                                         ")</f>
        <v xml:space="preserve">     Utilities                                         </v>
      </c>
      <c r="C225" s="13"/>
      <c r="D225" s="1">
        <f>SUM(OSRRefD22_25x_0)</f>
        <v>2247.4499999999998</v>
      </c>
      <c r="E225" s="1"/>
      <c r="F225" s="5">
        <f t="shared" ref="F225:F226" si="146">IF(D$12=0,0,D225/D$12)</f>
        <v>1.2214719491082427E-2</v>
      </c>
      <c r="G225" s="1"/>
      <c r="H225" s="1">
        <f>SUM(OSRRefH22_25x_0)</f>
        <v>7000</v>
      </c>
      <c r="I225" s="1"/>
      <c r="J225" s="5">
        <f t="shared" ref="J225:J226" si="147">IF(H$12=0,0,H225/H$12)</f>
        <v>1.3602031754914706E-2</v>
      </c>
      <c r="K225" s="1"/>
      <c r="L225" s="1">
        <f t="shared" ref="L225:L226" si="148">+D225-H225</f>
        <v>-4752.55</v>
      </c>
      <c r="M225" s="1"/>
      <c r="N225" s="5">
        <f t="shared" ref="N225:N226" si="149">IF(H225=0,0,L225/H225)</f>
        <v>-0.67893571428571431</v>
      </c>
      <c r="O225" s="13"/>
      <c r="P225" s="1">
        <f>SUM(OSRRefP22_25x_0)</f>
        <v>57165.62</v>
      </c>
      <c r="Q225" s="1"/>
      <c r="R225" s="5">
        <f t="shared" ref="R225:R226" si="150">IF(P$12=0,0,P225/P$12)</f>
        <v>1.339716365166024E-2</v>
      </c>
      <c r="S225" s="1"/>
      <c r="T225" s="1">
        <f>SUM(OSRRefT22_25x_0)</f>
        <v>65869</v>
      </c>
      <c r="U225" s="1"/>
      <c r="V225" s="5">
        <f t="shared" ref="V225:V226" si="151">IF(T$12=0,0,T225/T$12)</f>
        <v>8.0526940503172044E-3</v>
      </c>
      <c r="W225" s="1"/>
      <c r="X225" s="1">
        <f t="shared" ref="X225:X226" si="152">+P225-T225</f>
        <v>-8703.3799999999974</v>
      </c>
      <c r="Y225" s="1"/>
      <c r="Z225" s="5">
        <f t="shared" ref="Z225:Z226" si="153">IF(T225=0,0,X225/T225)</f>
        <v>-0.13213165525512757</v>
      </c>
    </row>
    <row r="226" spans="1:26" s="24" customFormat="1" hidden="1" outlineLevel="2" x14ac:dyDescent="0.25">
      <c r="A226" s="26"/>
      <c r="B226" s="11" t="str">
        <f>CONCATENATE("          ", "6274", " - ", "UTILITIES")</f>
        <v xml:space="preserve">          6274 - UTILITIES</v>
      </c>
      <c r="C226" s="11"/>
      <c r="D226" s="7">
        <v>2247.4499999999998</v>
      </c>
      <c r="E226" s="2"/>
      <c r="F226" s="6">
        <f t="shared" si="146"/>
        <v>1.2214719491082427E-2</v>
      </c>
      <c r="G226" s="2"/>
      <c r="H226" s="7">
        <v>7000</v>
      </c>
      <c r="I226" s="2"/>
      <c r="J226" s="6">
        <f t="shared" si="147"/>
        <v>1.3602031754914706E-2</v>
      </c>
      <c r="K226" s="2"/>
      <c r="L226" s="7">
        <f t="shared" si="148"/>
        <v>-4752.55</v>
      </c>
      <c r="M226" s="2"/>
      <c r="N226" s="6">
        <f t="shared" si="149"/>
        <v>-0.67893571428571431</v>
      </c>
      <c r="O226" s="11"/>
      <c r="P226" s="7">
        <v>57165.62</v>
      </c>
      <c r="Q226" s="2"/>
      <c r="R226" s="6">
        <f t="shared" si="150"/>
        <v>1.339716365166024E-2</v>
      </c>
      <c r="S226" s="2"/>
      <c r="T226" s="7">
        <v>65869</v>
      </c>
      <c r="U226" s="2"/>
      <c r="V226" s="6">
        <f t="shared" si="151"/>
        <v>8.0526940503172044E-3</v>
      </c>
      <c r="W226" s="2"/>
      <c r="X226" s="7">
        <f t="shared" si="152"/>
        <v>-8703.3799999999974</v>
      </c>
      <c r="Y226" s="2"/>
      <c r="Z226" s="6">
        <f t="shared" si="153"/>
        <v>-0.13213165525512757</v>
      </c>
    </row>
    <row r="227" spans="1:26" s="59" customFormat="1" x14ac:dyDescent="0.25">
      <c r="A227" s="36"/>
      <c r="B227" s="36"/>
      <c r="C227" s="36"/>
      <c r="D227" s="1"/>
      <c r="E227" s="1"/>
      <c r="F227" s="5"/>
      <c r="G227" s="1"/>
      <c r="H227" s="1"/>
      <c r="I227" s="1"/>
      <c r="J227" s="5"/>
      <c r="K227" s="1"/>
      <c r="L227" s="1"/>
      <c r="M227" s="1"/>
      <c r="N227" s="5"/>
      <c r="O227" s="36"/>
      <c r="P227" s="1"/>
      <c r="Q227" s="1"/>
      <c r="R227" s="5"/>
      <c r="S227" s="1"/>
      <c r="T227" s="1"/>
      <c r="U227" s="1"/>
      <c r="V227" s="5"/>
      <c r="W227" s="1"/>
      <c r="X227" s="1"/>
      <c r="Y227" s="1"/>
      <c r="Z227" s="5"/>
    </row>
    <row r="228" spans="1:26" s="23" customFormat="1" collapsed="1" x14ac:dyDescent="0.25">
      <c r="A228" s="10"/>
      <c r="B228" s="28" t="s">
        <v>293</v>
      </c>
      <c r="C228" s="10"/>
      <c r="D228" s="4">
        <f>SUM(OSRRefD25x_0)</f>
        <v>189046.82</v>
      </c>
      <c r="E228" s="4"/>
      <c r="F228" s="12">
        <f t="shared" ref="F228:F232" si="154">IF(D$12=0,0,D228/D$12)</f>
        <v>1.0274550610608251</v>
      </c>
      <c r="G228" s="4"/>
      <c r="H228" s="4">
        <f>SUM(OSRRefH25x_0)</f>
        <v>207845</v>
      </c>
      <c r="I228" s="4"/>
      <c r="J228" s="12">
        <f t="shared" ref="J228:J232" si="155">IF(H$12=0,0,H228/H$12)</f>
        <v>0.403873470014321</v>
      </c>
      <c r="K228" s="4"/>
      <c r="L228" s="4">
        <f t="shared" ref="L228:L232" si="156">+D228-H228</f>
        <v>-18798.179999999993</v>
      </c>
      <c r="M228" s="4"/>
      <c r="N228" s="12">
        <f t="shared" ref="N228:N232" si="157">IF(H228=0,0,L228/H228)</f>
        <v>-9.044326300849187E-2</v>
      </c>
      <c r="O228" s="10"/>
      <c r="P228" s="4">
        <f>SUM(OSRRefP25x_0)</f>
        <v>962302.23</v>
      </c>
      <c r="Q228" s="4"/>
      <c r="R228" s="12">
        <f t="shared" ref="R228:R232" si="158">IF(P$12=0,0,P228/P$12)</f>
        <v>0.22552227121244536</v>
      </c>
      <c r="S228" s="4"/>
      <c r="T228" s="4">
        <f>SUM(OSRRefT25x_0)</f>
        <v>836745</v>
      </c>
      <c r="U228" s="4"/>
      <c r="V228" s="12">
        <f t="shared" ref="V228:V232" si="159">IF(T$12=0,0,T228/T$12)</f>
        <v>0.10229472867559351</v>
      </c>
      <c r="W228" s="4"/>
      <c r="X228" s="4">
        <f t="shared" ref="X228:X232" si="160">+P228-T228</f>
        <v>125557.22999999998</v>
      </c>
      <c r="Y228" s="4"/>
      <c r="Z228" s="12">
        <f t="shared" ref="Z228:Z232" si="161">IF(T228=0,0,X228/T228)</f>
        <v>0.15005435347686569</v>
      </c>
    </row>
    <row r="229" spans="1:26" s="24" customFormat="1" hidden="1" outlineLevel="1" x14ac:dyDescent="0.25">
      <c r="A229" s="44"/>
      <c r="B229" s="11" t="str">
        <f>CONCATENATE("          ", "9150", " - ", "MISC. INCOME")</f>
        <v xml:space="preserve">          9150 - MISC. INCOME</v>
      </c>
      <c r="C229" s="11"/>
      <c r="D229" s="2">
        <f>--15917.25</f>
        <v>15917.25</v>
      </c>
      <c r="E229" s="2"/>
      <c r="F229" s="19">
        <f t="shared" si="154"/>
        <v>8.6509040832691175E-2</v>
      </c>
      <c r="G229" s="2"/>
      <c r="H229" s="2">
        <v>18750</v>
      </c>
      <c r="I229" s="2"/>
      <c r="J229" s="19">
        <f t="shared" si="155"/>
        <v>3.6434013629235817E-2</v>
      </c>
      <c r="K229" s="2"/>
      <c r="L229" s="2">
        <f t="shared" si="156"/>
        <v>-2832.75</v>
      </c>
      <c r="M229" s="2"/>
      <c r="N229" s="19">
        <f t="shared" si="157"/>
        <v>-0.15107999999999999</v>
      </c>
      <c r="O229" s="11"/>
      <c r="P229" s="2">
        <f>--316528.75</f>
        <v>316528.75</v>
      </c>
      <c r="Q229" s="2"/>
      <c r="R229" s="19">
        <f t="shared" si="158"/>
        <v>7.4180730729509287E-2</v>
      </c>
      <c r="S229" s="2"/>
      <c r="T229" s="2">
        <v>181250</v>
      </c>
      <c r="U229" s="2"/>
      <c r="V229" s="19">
        <f t="shared" si="159"/>
        <v>2.2158387050357425E-2</v>
      </c>
      <c r="W229" s="2"/>
      <c r="X229" s="2">
        <f t="shared" si="160"/>
        <v>135278.75</v>
      </c>
      <c r="Y229" s="2"/>
      <c r="Z229" s="19">
        <f t="shared" si="161"/>
        <v>0.74636551724137934</v>
      </c>
    </row>
    <row r="230" spans="1:26" s="24" customFormat="1" hidden="1" outlineLevel="1" x14ac:dyDescent="0.25">
      <c r="A230" s="44"/>
      <c r="B230" s="11" t="str">
        <f>CONCATENATE("          ", "9151", " - ", "MISC. INCOME")</f>
        <v xml:space="preserve">          9151 - MISC. INCOME</v>
      </c>
      <c r="C230" s="11"/>
      <c r="D230" s="2">
        <f>-2282.24</f>
        <v>-2282.2399999999998</v>
      </c>
      <c r="E230" s="2"/>
      <c r="F230" s="19">
        <f t="shared" si="154"/>
        <v>-1.2403800490034464E-2</v>
      </c>
      <c r="G230" s="2"/>
      <c r="H230" s="2">
        <v>189095</v>
      </c>
      <c r="I230" s="2"/>
      <c r="J230" s="19">
        <f t="shared" si="155"/>
        <v>0.36743945638508518</v>
      </c>
      <c r="K230" s="2"/>
      <c r="L230" s="2">
        <f t="shared" si="156"/>
        <v>-191377.24</v>
      </c>
      <c r="M230" s="2"/>
      <c r="N230" s="19">
        <f t="shared" si="157"/>
        <v>-1.012069277347365</v>
      </c>
      <c r="O230" s="11"/>
      <c r="P230" s="2">
        <f>--295628.46</f>
        <v>295628.46000000002</v>
      </c>
      <c r="Q230" s="2"/>
      <c r="R230" s="19">
        <f t="shared" si="158"/>
        <v>6.9282601303166019E-2</v>
      </c>
      <c r="S230" s="2"/>
      <c r="T230" s="2">
        <v>655495</v>
      </c>
      <c r="U230" s="2"/>
      <c r="V230" s="19">
        <f t="shared" si="159"/>
        <v>8.0136341625236085E-2</v>
      </c>
      <c r="W230" s="2"/>
      <c r="X230" s="2">
        <f t="shared" si="160"/>
        <v>-359866.54</v>
      </c>
      <c r="Y230" s="2"/>
      <c r="Z230" s="19">
        <f t="shared" si="161"/>
        <v>-0.54899967200360034</v>
      </c>
    </row>
    <row r="231" spans="1:26" s="24" customFormat="1" hidden="1" outlineLevel="1" x14ac:dyDescent="0.25">
      <c r="A231" s="44"/>
      <c r="B231" s="11" t="str">
        <f>CONCATENATE("          ", "9152", " - ", "MISC. INCOME")</f>
        <v xml:space="preserve">          9152 - MISC. INCOME</v>
      </c>
      <c r="C231" s="11"/>
      <c r="D231" s="2">
        <f>--397.11</f>
        <v>397.11</v>
      </c>
      <c r="E231" s="2"/>
      <c r="F231" s="19">
        <f t="shared" si="154"/>
        <v>2.1582625896477089E-3</v>
      </c>
      <c r="G231" s="2"/>
      <c r="H231" s="2"/>
      <c r="I231" s="2"/>
      <c r="J231" s="19">
        <f t="shared" si="155"/>
        <v>0</v>
      </c>
      <c r="K231" s="2"/>
      <c r="L231" s="2">
        <f t="shared" si="156"/>
        <v>397.11</v>
      </c>
      <c r="M231" s="2"/>
      <c r="N231" s="19">
        <f t="shared" si="157"/>
        <v>0</v>
      </c>
      <c r="O231" s="11"/>
      <c r="P231" s="2">
        <f>--3710.56</f>
        <v>3710.56</v>
      </c>
      <c r="Q231" s="2"/>
      <c r="R231" s="19">
        <f t="shared" si="158"/>
        <v>8.6959573882526618E-4</v>
      </c>
      <c r="S231" s="2"/>
      <c r="T231" s="2"/>
      <c r="U231" s="2"/>
      <c r="V231" s="19">
        <f t="shared" si="159"/>
        <v>0</v>
      </c>
      <c r="W231" s="2"/>
      <c r="X231" s="2">
        <f t="shared" si="160"/>
        <v>3710.56</v>
      </c>
      <c r="Y231" s="2"/>
      <c r="Z231" s="19">
        <f t="shared" si="161"/>
        <v>0</v>
      </c>
    </row>
    <row r="232" spans="1:26" s="24" customFormat="1" hidden="1" outlineLevel="1" x14ac:dyDescent="0.25">
      <c r="A232" s="44"/>
      <c r="B232" s="11" t="str">
        <f>CONCATENATE("          ", "9163", " - ", "MISC. INCOME")</f>
        <v xml:space="preserve">          9163 - MISC. INCOME</v>
      </c>
      <c r="C232" s="11"/>
      <c r="D232" s="2">
        <f>--175014.7</f>
        <v>175014.7</v>
      </c>
      <c r="E232" s="2"/>
      <c r="F232" s="19">
        <f t="shared" si="154"/>
        <v>0.95119155812852074</v>
      </c>
      <c r="G232" s="2"/>
      <c r="H232" s="2"/>
      <c r="I232" s="2"/>
      <c r="J232" s="19">
        <f t="shared" si="155"/>
        <v>0</v>
      </c>
      <c r="K232" s="2"/>
      <c r="L232" s="2">
        <f t="shared" si="156"/>
        <v>175014.7</v>
      </c>
      <c r="M232" s="2"/>
      <c r="N232" s="19">
        <f t="shared" si="157"/>
        <v>0</v>
      </c>
      <c r="O232" s="11"/>
      <c r="P232" s="2">
        <f>--346434.46</f>
        <v>346434.46</v>
      </c>
      <c r="Q232" s="2"/>
      <c r="R232" s="19">
        <f t="shared" si="158"/>
        <v>8.1189343440944806E-2</v>
      </c>
      <c r="S232" s="2"/>
      <c r="T232" s="2"/>
      <c r="U232" s="2"/>
      <c r="V232" s="19">
        <f t="shared" si="159"/>
        <v>0</v>
      </c>
      <c r="W232" s="2"/>
      <c r="X232" s="2">
        <f t="shared" si="160"/>
        <v>346434.46</v>
      </c>
      <c r="Y232" s="2"/>
      <c r="Z232" s="19">
        <f t="shared" si="161"/>
        <v>0</v>
      </c>
    </row>
    <row r="233" spans="1:26" x14ac:dyDescent="0.25">
      <c r="A233" s="9"/>
      <c r="B233" s="10"/>
      <c r="C233" s="10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O233" s="10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s="23" customFormat="1" x14ac:dyDescent="0.25">
      <c r="A234" s="10"/>
      <c r="B234" s="29" t="s">
        <v>277</v>
      </c>
      <c r="C234" s="29"/>
      <c r="D234" s="20">
        <f>+D124-D126+D228</f>
        <v>33778.540000000095</v>
      </c>
      <c r="E234" s="14"/>
      <c r="F234" s="21">
        <f>IF(D$12=0,0,D234/D$12)</f>
        <v>0.18358379092674301</v>
      </c>
      <c r="G234" s="14"/>
      <c r="H234" s="20">
        <f>+H124-H126+H228</f>
        <v>103729.78227387153</v>
      </c>
      <c r="I234" s="14"/>
      <c r="J234" s="21">
        <f>IF(H$12=0,0,H234/H$12)</f>
        <v>0.2015622560599413</v>
      </c>
      <c r="K234" s="16"/>
      <c r="L234" s="20">
        <f>+D234-H234</f>
        <v>-69951.242273871438</v>
      </c>
      <c r="M234" s="16"/>
      <c r="N234" s="21">
        <f>IF(H234=0,0,L234/H234)</f>
        <v>-0.67436025354013918</v>
      </c>
      <c r="O234" s="28"/>
      <c r="P234" s="20">
        <f>+P124-P126+P228</f>
        <v>-120184.59999999916</v>
      </c>
      <c r="Q234" s="14"/>
      <c r="R234" s="21">
        <f>IF(P$12=0,0,P234/P$12)</f>
        <v>-2.8166103238437962E-2</v>
      </c>
      <c r="S234" s="14"/>
      <c r="T234" s="20">
        <f>+T124-T126+T228</f>
        <v>369176.6739038201</v>
      </c>
      <c r="U234" s="14"/>
      <c r="V234" s="21">
        <f>IF(T$12=0,0,T234/T$12)</f>
        <v>4.5133018650065838E-2</v>
      </c>
      <c r="W234" s="16"/>
      <c r="X234" s="20">
        <f>+P234-T234</f>
        <v>-489361.27390381927</v>
      </c>
      <c r="Y234" s="16"/>
      <c r="Z234" s="21">
        <f>IF(T234=0,0,X234/T234)</f>
        <v>-1.3255476537266553</v>
      </c>
    </row>
    <row r="235" spans="1:26" x14ac:dyDescent="0.25">
      <c r="A235" s="9"/>
      <c r="B235" s="10"/>
      <c r="C235" s="9"/>
      <c r="D235" s="3"/>
      <c r="E235" s="3"/>
      <c r="F235" s="8"/>
      <c r="G235" s="3"/>
      <c r="H235" s="3"/>
      <c r="I235" s="3"/>
      <c r="J235" s="8"/>
      <c r="K235" s="3"/>
      <c r="L235" s="3"/>
      <c r="M235" s="3"/>
      <c r="N235" s="8"/>
      <c r="P235" s="3"/>
      <c r="Q235" s="3"/>
      <c r="R235" s="8"/>
      <c r="S235" s="3"/>
      <c r="T235" s="3"/>
      <c r="U235" s="3"/>
      <c r="V235" s="8"/>
      <c r="W235" s="3"/>
      <c r="X235" s="3"/>
      <c r="Y235" s="3"/>
      <c r="Z235" s="8"/>
    </row>
    <row r="236" spans="1:26" s="23" customFormat="1" x14ac:dyDescent="0.25">
      <c r="A236" s="52"/>
      <c r="B236" s="10" t="s">
        <v>128</v>
      </c>
      <c r="C236" s="10"/>
      <c r="D236" s="4">
        <v>70811.44</v>
      </c>
      <c r="E236" s="4"/>
      <c r="F236" s="12">
        <f>IF(D$12=0,0,D236/D$12)</f>
        <v>0.38485478046657939</v>
      </c>
      <c r="G236" s="4"/>
      <c r="H236" s="4">
        <v>128074</v>
      </c>
      <c r="I236" s="4"/>
      <c r="J236" s="12">
        <f>IF(H$12=0,0,H236/H$12)</f>
        <v>0.24886665928270657</v>
      </c>
      <c r="K236" s="4"/>
      <c r="L236" s="4">
        <f>+D236-H236</f>
        <v>-57262.559999999998</v>
      </c>
      <c r="M236" s="4"/>
      <c r="N236" s="12">
        <f>IF(H236=0,0,L236/H236)</f>
        <v>-0.44710526726736105</v>
      </c>
      <c r="O236" s="10"/>
      <c r="P236" s="4">
        <v>879391.28</v>
      </c>
      <c r="Q236" s="4"/>
      <c r="R236" s="12">
        <f>IF(P$12=0,0,P236/P$12)</f>
        <v>0.20609150905741899</v>
      </c>
      <c r="S236" s="4"/>
      <c r="T236" s="4">
        <v>1450491</v>
      </c>
      <c r="U236" s="4"/>
      <c r="V236" s="12">
        <f>IF(T$12=0,0,T236/T$12)</f>
        <v>0.17732712270929651</v>
      </c>
      <c r="W236" s="4"/>
      <c r="X236" s="4">
        <f>+P236-T236</f>
        <v>-571099.72</v>
      </c>
      <c r="Y236" s="4"/>
      <c r="Z236" s="12">
        <f>IF(T236=0,0,X236/T236)</f>
        <v>-0.39372855122851502</v>
      </c>
    </row>
    <row r="237" spans="1:26" x14ac:dyDescent="0.25">
      <c r="A237" s="9"/>
      <c r="B237" s="10"/>
      <c r="C237" s="10"/>
      <c r="D237" s="3"/>
      <c r="E237" s="3"/>
      <c r="F237" s="8"/>
      <c r="G237" s="3"/>
      <c r="H237" s="3"/>
      <c r="I237" s="3"/>
      <c r="J237" s="8"/>
      <c r="K237" s="3"/>
      <c r="L237" s="3"/>
      <c r="M237" s="3"/>
      <c r="N237" s="8"/>
      <c r="O237" s="10"/>
      <c r="P237" s="3"/>
      <c r="Q237" s="3"/>
      <c r="R237" s="8"/>
      <c r="S237" s="3"/>
      <c r="T237" s="3"/>
      <c r="U237" s="3"/>
      <c r="V237" s="8"/>
      <c r="W237" s="3"/>
      <c r="X237" s="3"/>
      <c r="Y237" s="3"/>
      <c r="Z237" s="8"/>
    </row>
    <row r="238" spans="1:26" s="23" customFormat="1" ht="15.75" thickBot="1" x14ac:dyDescent="0.3">
      <c r="A238" s="10"/>
      <c r="B238" s="29" t="s">
        <v>126</v>
      </c>
      <c r="C238" s="29"/>
      <c r="D238" s="34">
        <f>+D234-D236</f>
        <v>-37032.899999999907</v>
      </c>
      <c r="E238" s="14"/>
      <c r="F238" s="30">
        <f>IF(D$12=0,0,D238/D$12)</f>
        <v>-0.20127098953983638</v>
      </c>
      <c r="G238" s="14"/>
      <c r="H238" s="34">
        <f>+H234-H236</f>
        <v>-24344.217726128467</v>
      </c>
      <c r="I238" s="14"/>
      <c r="J238" s="30">
        <f>IF(H$12=0,0,H238/H$12)</f>
        <v>-4.7304403222765266E-2</v>
      </c>
      <c r="K238" s="16"/>
      <c r="L238" s="34">
        <f>D238-H238</f>
        <v>-12688.68227387144</v>
      </c>
      <c r="M238" s="16"/>
      <c r="N238" s="30">
        <f>IF(H238=0,0,L238/H238)</f>
        <v>0.52121955269290798</v>
      </c>
      <c r="O238" s="28"/>
      <c r="P238" s="34">
        <f>+P234-P236</f>
        <v>-999575.87999999919</v>
      </c>
      <c r="Q238" s="14"/>
      <c r="R238" s="30">
        <f>IF(P$12=0,0,P238/P$12)</f>
        <v>-0.23425761229585695</v>
      </c>
      <c r="S238" s="14"/>
      <c r="T238" s="34">
        <f>+T234-T236</f>
        <v>-1081314.3260961799</v>
      </c>
      <c r="U238" s="14"/>
      <c r="V238" s="30">
        <f>IF(T$12=0,0,T238/T$12)</f>
        <v>-0.13219410405923068</v>
      </c>
      <c r="W238" s="16"/>
      <c r="X238" s="34">
        <f>P238-T238</f>
        <v>81738.446096180705</v>
      </c>
      <c r="Y238" s="16"/>
      <c r="Z238" s="30">
        <f>IF(T238=0,0,X238/T238)</f>
        <v>-7.5591753594236852E-2</v>
      </c>
    </row>
    <row r="239" spans="1:26" ht="15.75" thickTop="1" x14ac:dyDescent="0.25">
      <c r="A239" s="9"/>
      <c r="B239" s="9"/>
      <c r="C239" s="9"/>
      <c r="D239" s="3"/>
      <c r="E239" s="3"/>
      <c r="F239" s="8"/>
      <c r="G239" s="3"/>
      <c r="H239" s="3"/>
      <c r="I239" s="3"/>
      <c r="J239" s="8"/>
      <c r="K239" s="3"/>
      <c r="L239" s="3"/>
      <c r="M239" s="3"/>
      <c r="N239" s="8"/>
      <c r="P239" s="3"/>
      <c r="Q239" s="3"/>
      <c r="R239" s="8"/>
      <c r="S239" s="3"/>
      <c r="T239" s="3"/>
      <c r="U239" s="3"/>
      <c r="V239" s="8"/>
      <c r="W239" s="3"/>
      <c r="X239" s="3"/>
      <c r="Y239" s="3"/>
      <c r="Z239" s="8"/>
    </row>
    <row r="240" spans="1:26" x14ac:dyDescent="0.25">
      <c r="A240" s="9"/>
      <c r="B240" s="9"/>
      <c r="C240" s="9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s="23" customFormat="1" ht="15.75" thickBot="1" x14ac:dyDescent="0.3">
      <c r="A241" s="10"/>
      <c r="B241" s="29" t="s">
        <v>294</v>
      </c>
      <c r="C241" s="29"/>
      <c r="D241" s="31">
        <f>SUM(D238:D240)</f>
        <v>-37032.899999999907</v>
      </c>
      <c r="E241" s="14"/>
      <c r="F241" s="35">
        <f>IF(D$12=0,0,D241/D$12)</f>
        <v>-0.20127098953983638</v>
      </c>
      <c r="G241" s="14"/>
      <c r="H241" s="31">
        <f>SUM(H238:H240)</f>
        <v>-24344.217726128467</v>
      </c>
      <c r="I241" s="14"/>
      <c r="J241" s="35">
        <f>IF(H$12=0,0,H241/H$12)</f>
        <v>-4.7304403222765266E-2</v>
      </c>
      <c r="K241" s="16"/>
      <c r="L241" s="31">
        <f>+D241-H241</f>
        <v>-12688.68227387144</v>
      </c>
      <c r="M241" s="16"/>
      <c r="N241" s="35">
        <f>IF(H241=0,0,L241/H241)</f>
        <v>0.52121955269290798</v>
      </c>
      <c r="O241" s="28"/>
      <c r="P241" s="31">
        <f>SUM(P238:P240)</f>
        <v>-999575.87999999919</v>
      </c>
      <c r="Q241" s="14"/>
      <c r="R241" s="35">
        <f>IF(P$12=0,0,P241/P$12)</f>
        <v>-0.23425761229585695</v>
      </c>
      <c r="S241" s="14"/>
      <c r="T241" s="31">
        <f>SUM(T238:T240)</f>
        <v>-1081314.3260961799</v>
      </c>
      <c r="U241" s="14"/>
      <c r="V241" s="35">
        <f>IF(T$12=0,0,T241/T$12)</f>
        <v>-0.13219410405923068</v>
      </c>
      <c r="W241" s="16"/>
      <c r="X241" s="31">
        <f>+P241-T241</f>
        <v>81738.446096180705</v>
      </c>
      <c r="Y241" s="16"/>
      <c r="Z241" s="35">
        <f>IF(T241=0,0,X241/T241)</f>
        <v>-7.5591753594236852E-2</v>
      </c>
    </row>
    <row r="242" spans="1:26" ht="15.75" thickTop="1" x14ac:dyDescent="0.25">
      <c r="A242" s="9"/>
      <c r="C242" s="9"/>
      <c r="D242" s="18"/>
      <c r="E242" s="18"/>
      <c r="G242" s="18"/>
      <c r="H242" s="18"/>
      <c r="I242" s="18"/>
      <c r="J242" s="43"/>
      <c r="K242" s="18"/>
      <c r="L242" s="18"/>
      <c r="M242" s="18"/>
      <c r="P242" s="18"/>
      <c r="Q242" s="18"/>
      <c r="R242" s="43"/>
      <c r="S242" s="18"/>
      <c r="T242" s="18"/>
      <c r="U242" s="18"/>
      <c r="V242" s="43"/>
      <c r="W242" s="18"/>
      <c r="X242" s="18"/>
    </row>
    <row r="243" spans="1:26" x14ac:dyDescent="0.25">
      <c r="A243" s="9"/>
      <c r="B243" s="56">
        <v>44295.961781331018</v>
      </c>
      <c r="D243" s="18"/>
      <c r="E243" s="18"/>
      <c r="G243" s="18"/>
      <c r="H243" s="18"/>
      <c r="I243" s="18"/>
      <c r="J243" s="43"/>
      <c r="K243" s="18"/>
      <c r="L243" s="18"/>
      <c r="M243" s="18"/>
      <c r="P243" s="18"/>
      <c r="Q243" s="18"/>
      <c r="R243" s="43"/>
      <c r="S243" s="18"/>
      <c r="T243" s="18"/>
      <c r="U243" s="18"/>
      <c r="V243" s="43"/>
      <c r="W243" s="18"/>
      <c r="X243" s="18"/>
    </row>
    <row r="244" spans="1:26" x14ac:dyDescent="0.25">
      <c r="A244" s="9"/>
      <c r="B244" s="53" t="s">
        <v>56</v>
      </c>
      <c r="D244" s="18"/>
      <c r="E244" s="18"/>
      <c r="G244" s="18"/>
      <c r="H244" s="18"/>
      <c r="I244" s="18"/>
      <c r="J244" s="43"/>
      <c r="K244" s="18"/>
      <c r="L244" s="18"/>
      <c r="M244" s="18"/>
      <c r="P244" s="18"/>
      <c r="Q244" s="18"/>
      <c r="R244" s="43"/>
      <c r="S244" s="18"/>
      <c r="T244" s="18"/>
      <c r="U244" s="18"/>
      <c r="V244" s="43"/>
      <c r="W244" s="18"/>
      <c r="X244" s="18"/>
    </row>
    <row r="245" spans="1:26" x14ac:dyDescent="0.25">
      <c r="A245" s="9"/>
      <c r="B245" s="54"/>
      <c r="D245" s="18"/>
      <c r="E245" s="18"/>
      <c r="G245" s="18"/>
      <c r="H245" s="18"/>
      <c r="I245" s="18"/>
      <c r="J245" s="43"/>
      <c r="K245" s="18"/>
      <c r="L245" s="18"/>
      <c r="M245" s="18"/>
      <c r="P245" s="18"/>
      <c r="Q245" s="18"/>
      <c r="R245" s="43"/>
      <c r="S245" s="18"/>
      <c r="T245" s="18"/>
      <c r="U245" s="18"/>
      <c r="V245" s="43"/>
      <c r="W245" s="18"/>
      <c r="X245" s="18"/>
    </row>
    <row r="246" spans="1:26" x14ac:dyDescent="0.25">
      <c r="D246" s="18"/>
      <c r="E246" s="18"/>
      <c r="G246" s="18"/>
      <c r="H246" s="18"/>
      <c r="I246" s="18"/>
      <c r="J246" s="43"/>
      <c r="K246" s="18"/>
      <c r="L246" s="18"/>
      <c r="M246" s="18"/>
      <c r="P246" s="18"/>
      <c r="Q246" s="18"/>
      <c r="R246" s="43"/>
      <c r="S246" s="18"/>
      <c r="T246" s="18"/>
      <c r="U246" s="18"/>
      <c r="V246" s="43"/>
      <c r="W246" s="18"/>
      <c r="X246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183894.67000000007</v>
      </c>
      <c r="E12" s="4"/>
      <c r="F12" s="12"/>
      <c r="G12" s="4"/>
      <c r="H12" s="4">
        <f>SUM(OSRRefH13x_0)</f>
        <v>412169</v>
      </c>
      <c r="I12" s="4"/>
      <c r="J12" s="12"/>
      <c r="K12" s="4"/>
      <c r="L12" s="4">
        <f t="shared" ref="L12:L77" si="0">+D12-H12</f>
        <v>-228274.32999999993</v>
      </c>
      <c r="M12" s="4"/>
      <c r="N12" s="12">
        <f t="shared" ref="N12:N77" si="1">IF(H12=0,0,L12/H12)</f>
        <v>-0.55383672716773924</v>
      </c>
      <c r="O12" s="10"/>
      <c r="P12" s="4">
        <f>SUM(OSRRefP13x_0)</f>
        <v>4264173.2100000028</v>
      </c>
      <c r="Q12" s="4"/>
      <c r="R12" s="12"/>
      <c r="S12" s="4"/>
      <c r="T12" s="4">
        <f>SUM(OSRRefT13x_0)</f>
        <v>7718946</v>
      </c>
      <c r="U12" s="4"/>
      <c r="V12" s="12"/>
      <c r="W12" s="4"/>
      <c r="X12" s="4">
        <f t="shared" ref="X12:X77" si="2">+P12-T12</f>
        <v>-3454772.7899999972</v>
      </c>
      <c r="Y12" s="4"/>
      <c r="Z12" s="12">
        <f t="shared" ref="Z12:Z77" si="3">IF(T12=0,0,X12/T12)</f>
        <v>-0.44757053488908943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-11562.13</f>
        <v>-11562.13</v>
      </c>
      <c r="E13" s="2"/>
      <c r="F13" s="19"/>
      <c r="G13" s="2"/>
      <c r="H13" s="2">
        <v>373872</v>
      </c>
      <c r="I13" s="2"/>
      <c r="J13" s="19"/>
      <c r="K13" s="2"/>
      <c r="L13" s="2">
        <f t="shared" si="0"/>
        <v>-385434.13</v>
      </c>
      <c r="M13" s="2"/>
      <c r="N13" s="19">
        <f t="shared" si="1"/>
        <v>-1.0309253701801686</v>
      </c>
      <c r="O13" s="11"/>
      <c r="P13" s="2">
        <f>-119923.26</f>
        <v>-119923.26</v>
      </c>
      <c r="Q13" s="2"/>
      <c r="R13" s="19"/>
      <c r="S13" s="2"/>
      <c r="T13" s="2">
        <v>7510459</v>
      </c>
      <c r="U13" s="2"/>
      <c r="V13" s="19"/>
      <c r="W13" s="2"/>
      <c r="X13" s="2">
        <f t="shared" si="2"/>
        <v>-7630382.2599999998</v>
      </c>
      <c r="Y13" s="2"/>
      <c r="Z13" s="19">
        <f t="shared" si="3"/>
        <v>-1.0159675007879012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--7739.23</f>
        <v>7739.23</v>
      </c>
      <c r="E14" s="2"/>
      <c r="F14" s="19"/>
      <c r="G14" s="2"/>
      <c r="H14" s="2"/>
      <c r="I14" s="2"/>
      <c r="J14" s="19"/>
      <c r="K14" s="2"/>
      <c r="L14" s="2">
        <f t="shared" si="0"/>
        <v>7739.23</v>
      </c>
      <c r="M14" s="2"/>
      <c r="N14" s="19">
        <f t="shared" si="1"/>
        <v>0</v>
      </c>
      <c r="O14" s="11"/>
      <c r="P14" s="2">
        <f>--1232463.24</f>
        <v>1232463.24</v>
      </c>
      <c r="Q14" s="2"/>
      <c r="R14" s="19"/>
      <c r="S14" s="2"/>
      <c r="T14" s="2"/>
      <c r="U14" s="2"/>
      <c r="V14" s="19"/>
      <c r="W14" s="2"/>
      <c r="X14" s="2">
        <f t="shared" si="2"/>
        <v>1232463.24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--1662.85</f>
        <v>1662.85</v>
      </c>
      <c r="E15" s="2"/>
      <c r="F15" s="19"/>
      <c r="G15" s="2"/>
      <c r="H15" s="2"/>
      <c r="I15" s="2"/>
      <c r="J15" s="19"/>
      <c r="K15" s="2"/>
      <c r="L15" s="2">
        <f t="shared" si="0"/>
        <v>1662.85</v>
      </c>
      <c r="M15" s="2"/>
      <c r="N15" s="19">
        <f t="shared" si="1"/>
        <v>0</v>
      </c>
      <c r="O15" s="11"/>
      <c r="P15" s="2">
        <f>--576797.33</f>
        <v>576797.32999999996</v>
      </c>
      <c r="Q15" s="2"/>
      <c r="R15" s="19"/>
      <c r="S15" s="2"/>
      <c r="T15" s="2"/>
      <c r="U15" s="2"/>
      <c r="V15" s="19"/>
      <c r="W15" s="2"/>
      <c r="X15" s="2">
        <f t="shared" si="2"/>
        <v>576797.32999999996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--16.37</f>
        <v>16.37</v>
      </c>
      <c r="E21" s="2"/>
      <c r="F21" s="19"/>
      <c r="G21" s="2"/>
      <c r="H21" s="2"/>
      <c r="I21" s="2"/>
      <c r="J21" s="19"/>
      <c r="K21" s="2"/>
      <c r="L21" s="2">
        <f t="shared" si="0"/>
        <v>16.37</v>
      </c>
      <c r="M21" s="2"/>
      <c r="N21" s="19">
        <f t="shared" si="1"/>
        <v>0</v>
      </c>
      <c r="O21" s="11"/>
      <c r="P21" s="2">
        <f>--464.75</f>
        <v>464.75</v>
      </c>
      <c r="Q21" s="2"/>
      <c r="R21" s="19"/>
      <c r="S21" s="2"/>
      <c r="T21" s="2"/>
      <c r="U21" s="2"/>
      <c r="V21" s="19"/>
      <c r="W21" s="2"/>
      <c r="X21" s="2">
        <f t="shared" si="2"/>
        <v>464.75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--3028</f>
        <v>3028</v>
      </c>
      <c r="E22" s="2"/>
      <c r="F22" s="19"/>
      <c r="G22" s="2"/>
      <c r="H22" s="2"/>
      <c r="I22" s="2"/>
      <c r="J22" s="19"/>
      <c r="K22" s="2"/>
      <c r="L22" s="2">
        <f t="shared" si="0"/>
        <v>3028</v>
      </c>
      <c r="M22" s="2"/>
      <c r="N22" s="19">
        <f t="shared" si="1"/>
        <v>0</v>
      </c>
      <c r="O22" s="11"/>
      <c r="P22" s="2">
        <f>--57512.32</f>
        <v>57512.32</v>
      </c>
      <c r="Q22" s="2"/>
      <c r="R22" s="19"/>
      <c r="S22" s="2"/>
      <c r="T22" s="2"/>
      <c r="U22" s="2"/>
      <c r="V22" s="19"/>
      <c r="W22" s="2"/>
      <c r="X22" s="2">
        <f t="shared" si="2"/>
        <v>57512.32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--3372.76</f>
        <v>3372.76</v>
      </c>
      <c r="E23" s="2"/>
      <c r="F23" s="19"/>
      <c r="G23" s="2"/>
      <c r="H23" s="2"/>
      <c r="I23" s="2"/>
      <c r="J23" s="19"/>
      <c r="K23" s="2"/>
      <c r="L23" s="2">
        <f t="shared" si="0"/>
        <v>3372.76</v>
      </c>
      <c r="M23" s="2"/>
      <c r="N23" s="19">
        <f t="shared" si="1"/>
        <v>0</v>
      </c>
      <c r="O23" s="11"/>
      <c r="P23" s="2">
        <f>--44249.38</f>
        <v>44249.38</v>
      </c>
      <c r="Q23" s="2"/>
      <c r="R23" s="19"/>
      <c r="S23" s="2"/>
      <c r="T23" s="2"/>
      <c r="U23" s="2"/>
      <c r="V23" s="19"/>
      <c r="W23" s="2"/>
      <c r="X23" s="2">
        <f t="shared" si="2"/>
        <v>44249.38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--434.03</f>
        <v>434.03</v>
      </c>
      <c r="E24" s="2"/>
      <c r="F24" s="19"/>
      <c r="G24" s="2"/>
      <c r="H24" s="2"/>
      <c r="I24" s="2"/>
      <c r="J24" s="19"/>
      <c r="K24" s="2"/>
      <c r="L24" s="2">
        <f t="shared" si="0"/>
        <v>434.03</v>
      </c>
      <c r="M24" s="2"/>
      <c r="N24" s="19">
        <f t="shared" si="1"/>
        <v>0</v>
      </c>
      <c r="O24" s="11"/>
      <c r="P24" s="2">
        <f>--3614.87</f>
        <v>3614.87</v>
      </c>
      <c r="Q24" s="2"/>
      <c r="R24" s="19"/>
      <c r="S24" s="2"/>
      <c r="T24" s="2"/>
      <c r="U24" s="2"/>
      <c r="V24" s="19"/>
      <c r="W24" s="2"/>
      <c r="X24" s="2">
        <f t="shared" si="2"/>
        <v>3614.87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--82653.17</f>
        <v>82653.17</v>
      </c>
      <c r="E26" s="2"/>
      <c r="F26" s="19"/>
      <c r="G26" s="2"/>
      <c r="H26" s="2"/>
      <c r="I26" s="2"/>
      <c r="J26" s="19"/>
      <c r="K26" s="2"/>
      <c r="L26" s="2">
        <f t="shared" si="0"/>
        <v>82653.17</v>
      </c>
      <c r="M26" s="2"/>
      <c r="N26" s="19">
        <f t="shared" si="1"/>
        <v>0</v>
      </c>
      <c r="O26" s="11"/>
      <c r="P26" s="2">
        <f>--754001.15</f>
        <v>754001.15</v>
      </c>
      <c r="Q26" s="2"/>
      <c r="R26" s="19"/>
      <c r="S26" s="2"/>
      <c r="T26" s="2"/>
      <c r="U26" s="2"/>
      <c r="V26" s="19"/>
      <c r="W26" s="2"/>
      <c r="X26" s="2">
        <f t="shared" si="2"/>
        <v>754001.15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--47817.47</f>
        <v>47817.47</v>
      </c>
      <c r="E27" s="2"/>
      <c r="F27" s="19"/>
      <c r="G27" s="2"/>
      <c r="H27" s="2"/>
      <c r="I27" s="2"/>
      <c r="J27" s="19"/>
      <c r="K27" s="2"/>
      <c r="L27" s="2">
        <f t="shared" si="0"/>
        <v>47817.47</v>
      </c>
      <c r="M27" s="2"/>
      <c r="N27" s="19">
        <f t="shared" si="1"/>
        <v>0</v>
      </c>
      <c r="O27" s="11"/>
      <c r="P27" s="2">
        <f>--324016.78</f>
        <v>324016.78000000003</v>
      </c>
      <c r="Q27" s="2"/>
      <c r="R27" s="19"/>
      <c r="S27" s="2"/>
      <c r="T27" s="2"/>
      <c r="U27" s="2"/>
      <c r="V27" s="19"/>
      <c r="W27" s="2"/>
      <c r="X27" s="2">
        <f t="shared" si="2"/>
        <v>324016.78000000003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--11053.28</f>
        <v>11053.28</v>
      </c>
      <c r="E28" s="2"/>
      <c r="F28" s="19"/>
      <c r="G28" s="2"/>
      <c r="H28" s="2"/>
      <c r="I28" s="2"/>
      <c r="J28" s="19"/>
      <c r="K28" s="2"/>
      <c r="L28" s="2">
        <f t="shared" si="0"/>
        <v>11053.28</v>
      </c>
      <c r="M28" s="2"/>
      <c r="N28" s="19">
        <f t="shared" si="1"/>
        <v>0</v>
      </c>
      <c r="O28" s="11"/>
      <c r="P28" s="2">
        <f>--90048.2</f>
        <v>90048.2</v>
      </c>
      <c r="Q28" s="2"/>
      <c r="R28" s="19"/>
      <c r="S28" s="2"/>
      <c r="T28" s="2"/>
      <c r="U28" s="2"/>
      <c r="V28" s="19"/>
      <c r="W28" s="2"/>
      <c r="X28" s="2">
        <f t="shared" si="2"/>
        <v>90048.2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--8285.51</f>
        <v>8285.51</v>
      </c>
      <c r="E29" s="2"/>
      <c r="F29" s="19"/>
      <c r="G29" s="2"/>
      <c r="H29" s="2"/>
      <c r="I29" s="2"/>
      <c r="J29" s="19"/>
      <c r="K29" s="2"/>
      <c r="L29" s="2">
        <f t="shared" si="0"/>
        <v>8285.51</v>
      </c>
      <c r="M29" s="2"/>
      <c r="N29" s="19">
        <f t="shared" si="1"/>
        <v>0</v>
      </c>
      <c r="O29" s="11"/>
      <c r="P29" s="2">
        <f>--132436.17</f>
        <v>132436.17000000001</v>
      </c>
      <c r="Q29" s="2"/>
      <c r="R29" s="19"/>
      <c r="S29" s="2"/>
      <c r="T29" s="2"/>
      <c r="U29" s="2"/>
      <c r="V29" s="19"/>
      <c r="W29" s="2"/>
      <c r="X29" s="2">
        <f t="shared" si="2"/>
        <v>132436.17000000001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--1774.45</f>
        <v>1774.45</v>
      </c>
      <c r="E30" s="2"/>
      <c r="F30" s="19"/>
      <c r="G30" s="2"/>
      <c r="H30" s="2"/>
      <c r="I30" s="2"/>
      <c r="J30" s="19"/>
      <c r="K30" s="2"/>
      <c r="L30" s="2">
        <f t="shared" si="0"/>
        <v>1774.45</v>
      </c>
      <c r="M30" s="2"/>
      <c r="N30" s="19">
        <f t="shared" si="1"/>
        <v>0</v>
      </c>
      <c r="O30" s="11"/>
      <c r="P30" s="2">
        <f>--31346.85</f>
        <v>31346.85</v>
      </c>
      <c r="Q30" s="2"/>
      <c r="R30" s="19"/>
      <c r="S30" s="2"/>
      <c r="T30" s="2"/>
      <c r="U30" s="2"/>
      <c r="V30" s="19"/>
      <c r="W30" s="2"/>
      <c r="X30" s="2">
        <f t="shared" si="2"/>
        <v>31346.85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--8707.87</f>
        <v>8707.8700000000008</v>
      </c>
      <c r="E31" s="2"/>
      <c r="F31" s="19"/>
      <c r="G31" s="2"/>
      <c r="H31" s="2"/>
      <c r="I31" s="2"/>
      <c r="J31" s="19"/>
      <c r="K31" s="2"/>
      <c r="L31" s="2">
        <f t="shared" si="0"/>
        <v>8707.8700000000008</v>
      </c>
      <c r="M31" s="2"/>
      <c r="N31" s="19">
        <f t="shared" si="1"/>
        <v>0</v>
      </c>
      <c r="O31" s="11"/>
      <c r="P31" s="2">
        <f>--144197.44</f>
        <v>144197.44</v>
      </c>
      <c r="Q31" s="2"/>
      <c r="R31" s="19"/>
      <c r="S31" s="2"/>
      <c r="T31" s="2"/>
      <c r="U31" s="2"/>
      <c r="V31" s="19"/>
      <c r="W31" s="2"/>
      <c r="X31" s="2">
        <f t="shared" si="2"/>
        <v>144197.44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--71.95</f>
        <v>71.95</v>
      </c>
      <c r="Q32" s="2"/>
      <c r="R32" s="19"/>
      <c r="S32" s="2"/>
      <c r="T32" s="2"/>
      <c r="U32" s="2"/>
      <c r="V32" s="19"/>
      <c r="W32" s="2"/>
      <c r="X32" s="2">
        <f t="shared" si="2"/>
        <v>71.95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--9.99</f>
        <v>9.99</v>
      </c>
      <c r="Q33" s="2"/>
      <c r="R33" s="19"/>
      <c r="S33" s="2"/>
      <c r="T33" s="2"/>
      <c r="U33" s="2"/>
      <c r="V33" s="19"/>
      <c r="W33" s="2"/>
      <c r="X33" s="2">
        <f t="shared" si="2"/>
        <v>9.99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"4095", " - ", "TAXABLE SALES-CUSTOMER SERVICE")</f>
        <v xml:space="preserve">          4095 - TAXABLE SALES-CUSTOMER SERVICE</v>
      </c>
      <c r="C34" s="11"/>
      <c r="D34" s="2">
        <f>--775.28</f>
        <v>775.28</v>
      </c>
      <c r="E34" s="2"/>
      <c r="F34" s="19"/>
      <c r="G34" s="2"/>
      <c r="H34" s="2"/>
      <c r="I34" s="2"/>
      <c r="J34" s="19"/>
      <c r="K34" s="2"/>
      <c r="L34" s="2">
        <f t="shared" si="0"/>
        <v>775.28</v>
      </c>
      <c r="M34" s="2"/>
      <c r="N34" s="19">
        <f t="shared" si="1"/>
        <v>0</v>
      </c>
      <c r="O34" s="11"/>
      <c r="P34" s="2">
        <f>--915.13</f>
        <v>915.13</v>
      </c>
      <c r="Q34" s="2"/>
      <c r="R34" s="19"/>
      <c r="S34" s="2"/>
      <c r="T34" s="2"/>
      <c r="U34" s="2"/>
      <c r="V34" s="19"/>
      <c r="W34" s="2"/>
      <c r="X34" s="2">
        <f t="shared" si="2"/>
        <v>915.13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"4100", " - ", "NON-TAXABLE SALES")</f>
        <v xml:space="preserve">          4100 - NON-TAXABLE SALES</v>
      </c>
      <c r="C35" s="11"/>
      <c r="D35" s="2">
        <f>--2050.54</f>
        <v>2050.54</v>
      </c>
      <c r="E35" s="2"/>
      <c r="F35" s="19"/>
      <c r="G35" s="2"/>
      <c r="H35" s="2">
        <v>38297</v>
      </c>
      <c r="I35" s="2"/>
      <c r="J35" s="19"/>
      <c r="K35" s="2"/>
      <c r="L35" s="2">
        <f t="shared" si="0"/>
        <v>-36246.46</v>
      </c>
      <c r="M35" s="2"/>
      <c r="N35" s="19">
        <f t="shared" si="1"/>
        <v>-0.9464569026294487</v>
      </c>
      <c r="O35" s="11"/>
      <c r="P35" s="2">
        <f>--286224.1</f>
        <v>286224.09999999998</v>
      </c>
      <c r="Q35" s="2"/>
      <c r="R35" s="19"/>
      <c r="S35" s="2"/>
      <c r="T35" s="2">
        <v>208487</v>
      </c>
      <c r="U35" s="2"/>
      <c r="V35" s="19"/>
      <c r="W35" s="2"/>
      <c r="X35" s="2">
        <f t="shared" si="2"/>
        <v>77737.099999999977</v>
      </c>
      <c r="Y35" s="2"/>
      <c r="Z35" s="19">
        <f t="shared" si="3"/>
        <v>0.37286305620973959</v>
      </c>
    </row>
    <row r="36" spans="1:26" s="24" customFormat="1" hidden="1" outlineLevel="1" x14ac:dyDescent="0.25">
      <c r="A36" s="44"/>
      <c r="B36" s="11" t="str">
        <f>CONCATENATE("          ", "4101", " - ", "NON-TAXABLE SALES-NEW TEXT")</f>
        <v xml:space="preserve">          4101 - NON-TAXABLE SALES-NEW TEXT</v>
      </c>
      <c r="C36" s="11"/>
      <c r="D36" s="2">
        <f>--1044.17</f>
        <v>1044.17</v>
      </c>
      <c r="E36" s="2"/>
      <c r="F36" s="19"/>
      <c r="G36" s="2"/>
      <c r="H36" s="2"/>
      <c r="I36" s="2"/>
      <c r="J36" s="19"/>
      <c r="K36" s="2"/>
      <c r="L36" s="2">
        <f t="shared" si="0"/>
        <v>1044.17</v>
      </c>
      <c r="M36" s="2"/>
      <c r="N36" s="19">
        <f t="shared" si="1"/>
        <v>0</v>
      </c>
      <c r="O36" s="11"/>
      <c r="P36" s="2">
        <f>--112055.71</f>
        <v>112055.71</v>
      </c>
      <c r="Q36" s="2"/>
      <c r="R36" s="19"/>
      <c r="S36" s="2"/>
      <c r="T36" s="2"/>
      <c r="U36" s="2"/>
      <c r="V36" s="19"/>
      <c r="W36" s="2"/>
      <c r="X36" s="2">
        <f t="shared" si="2"/>
        <v>112055.71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"4102", " - ", "NON-TAXABLE SALES-USED TEXT")</f>
        <v xml:space="preserve">          4102 - NON-TAXABLE SALES-USED TEXT</v>
      </c>
      <c r="C37" s="11"/>
      <c r="D37" s="2">
        <f>--1572.06</f>
        <v>1572.06</v>
      </c>
      <c r="E37" s="2"/>
      <c r="F37" s="19"/>
      <c r="G37" s="2"/>
      <c r="H37" s="2"/>
      <c r="I37" s="2"/>
      <c r="J37" s="19"/>
      <c r="K37" s="2"/>
      <c r="L37" s="2">
        <f t="shared" si="0"/>
        <v>1572.06</v>
      </c>
      <c r="M37" s="2"/>
      <c r="N37" s="19">
        <f t="shared" si="1"/>
        <v>0</v>
      </c>
      <c r="O37" s="11"/>
      <c r="P37" s="2">
        <f>--47959.43</f>
        <v>47959.43</v>
      </c>
      <c r="Q37" s="2"/>
      <c r="R37" s="19"/>
      <c r="S37" s="2"/>
      <c r="T37" s="2"/>
      <c r="U37" s="2"/>
      <c r="V37" s="19"/>
      <c r="W37" s="2"/>
      <c r="X37" s="2">
        <f t="shared" si="2"/>
        <v>47959.43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--1138.95</f>
        <v>1138.95</v>
      </c>
      <c r="Q38" s="2"/>
      <c r="R38" s="19"/>
      <c r="S38" s="2"/>
      <c r="T38" s="2"/>
      <c r="U38" s="2"/>
      <c r="V38" s="19"/>
      <c r="W38" s="2"/>
      <c r="X38" s="2">
        <f t="shared" si="2"/>
        <v>1138.95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--1097.13</f>
        <v>1097.1300000000001</v>
      </c>
      <c r="E39" s="2"/>
      <c r="F39" s="19"/>
      <c r="G39" s="2"/>
      <c r="H39" s="2"/>
      <c r="I39" s="2"/>
      <c r="J39" s="19"/>
      <c r="K39" s="2"/>
      <c r="L39" s="2">
        <f t="shared" si="0"/>
        <v>1097.1300000000001</v>
      </c>
      <c r="M39" s="2"/>
      <c r="N39" s="19">
        <f t="shared" si="1"/>
        <v>0</v>
      </c>
      <c r="O39" s="11"/>
      <c r="P39" s="2">
        <f>--476971.18</f>
        <v>476971.18</v>
      </c>
      <c r="Q39" s="2"/>
      <c r="R39" s="19"/>
      <c r="S39" s="2"/>
      <c r="T39" s="2"/>
      <c r="U39" s="2"/>
      <c r="V39" s="19"/>
      <c r="W39" s="2"/>
      <c r="X39" s="2">
        <f t="shared" si="2"/>
        <v>476971.18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--1250</f>
        <v>1250</v>
      </c>
      <c r="E40" s="2"/>
      <c r="F40" s="19"/>
      <c r="G40" s="2"/>
      <c r="H40" s="2"/>
      <c r="I40" s="2"/>
      <c r="J40" s="19"/>
      <c r="K40" s="2"/>
      <c r="L40" s="2">
        <f t="shared" si="0"/>
        <v>1250</v>
      </c>
      <c r="M40" s="2"/>
      <c r="N40" s="19">
        <f t="shared" si="1"/>
        <v>0</v>
      </c>
      <c r="O40" s="11"/>
      <c r="P40" s="2">
        <f>--11389.25</f>
        <v>11389.25</v>
      </c>
      <c r="Q40" s="2"/>
      <c r="R40" s="19"/>
      <c r="S40" s="2"/>
      <c r="T40" s="2"/>
      <c r="U40" s="2"/>
      <c r="V40" s="19"/>
      <c r="W40" s="2"/>
      <c r="X40" s="2">
        <f t="shared" si="2"/>
        <v>11389.25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ref="D41:D42" si="5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--771.73</f>
        <v>771.73</v>
      </c>
      <c r="Q41" s="2"/>
      <c r="R41" s="19"/>
      <c r="S41" s="2"/>
      <c r="T41" s="2"/>
      <c r="U41" s="2"/>
      <c r="V41" s="19"/>
      <c r="W41" s="2"/>
      <c r="X41" s="2">
        <f t="shared" si="2"/>
        <v>771.73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5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--52.68</f>
        <v>52.68</v>
      </c>
      <c r="Q42" s="2"/>
      <c r="R42" s="19"/>
      <c r="S42" s="2"/>
      <c r="T42" s="2"/>
      <c r="U42" s="2"/>
      <c r="V42" s="19"/>
      <c r="W42" s="2"/>
      <c r="X42" s="2">
        <f t="shared" si="2"/>
        <v>52.68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--389.95</f>
        <v>389.95</v>
      </c>
      <c r="E43" s="2"/>
      <c r="F43" s="19"/>
      <c r="G43" s="2"/>
      <c r="H43" s="2"/>
      <c r="I43" s="2"/>
      <c r="J43" s="19"/>
      <c r="K43" s="2"/>
      <c r="L43" s="2">
        <f t="shared" si="0"/>
        <v>389.95</v>
      </c>
      <c r="M43" s="2"/>
      <c r="N43" s="19">
        <f t="shared" si="1"/>
        <v>0</v>
      </c>
      <c r="O43" s="11"/>
      <c r="P43" s="2">
        <f>--6607.31</f>
        <v>6607.31</v>
      </c>
      <c r="Q43" s="2"/>
      <c r="R43" s="19"/>
      <c r="S43" s="2"/>
      <c r="T43" s="2"/>
      <c r="U43" s="2"/>
      <c r="V43" s="19"/>
      <c r="W43" s="2"/>
      <c r="X43" s="2">
        <f t="shared" si="2"/>
        <v>6607.31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"4128", " - ", "NON-TAXABLE SALES-ART/TECH")</f>
        <v xml:space="preserve">          4128 - NON-TAXABLE SALES-ART/TECH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--38.58</f>
        <v>38.58</v>
      </c>
      <c r="Q44" s="2"/>
      <c r="R44" s="19"/>
      <c r="S44" s="2"/>
      <c r="T44" s="2"/>
      <c r="U44" s="2"/>
      <c r="V44" s="19"/>
      <c r="W44" s="2"/>
      <c r="X44" s="2">
        <f t="shared" si="2"/>
        <v>38.58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>--829.28</f>
        <v>829.28</v>
      </c>
      <c r="E45" s="2"/>
      <c r="F45" s="19"/>
      <c r="G45" s="2"/>
      <c r="H45" s="2"/>
      <c r="I45" s="2"/>
      <c r="J45" s="19"/>
      <c r="K45" s="2"/>
      <c r="L45" s="2">
        <f t="shared" si="0"/>
        <v>829.28</v>
      </c>
      <c r="M45" s="2"/>
      <c r="N45" s="19">
        <f t="shared" si="1"/>
        <v>0</v>
      </c>
      <c r="O45" s="11"/>
      <c r="P45" s="2">
        <f>--10404.43</f>
        <v>10404.43</v>
      </c>
      <c r="Q45" s="2"/>
      <c r="R45" s="19"/>
      <c r="S45" s="2"/>
      <c r="T45" s="2"/>
      <c r="U45" s="2"/>
      <c r="V45" s="19"/>
      <c r="W45" s="2"/>
      <c r="X45" s="2">
        <f t="shared" si="2"/>
        <v>10404.43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6"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--22.49</f>
        <v>22.49</v>
      </c>
      <c r="Q46" s="2"/>
      <c r="R46" s="19"/>
      <c r="S46" s="2"/>
      <c r="T46" s="2"/>
      <c r="U46" s="2"/>
      <c r="V46" s="19"/>
      <c r="W46" s="2"/>
      <c r="X46" s="2">
        <f t="shared" si="2"/>
        <v>22.49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--80.71</f>
        <v>80.709999999999994</v>
      </c>
      <c r="Q47" s="2"/>
      <c r="R47" s="19"/>
      <c r="S47" s="2"/>
      <c r="T47" s="2"/>
      <c r="U47" s="2"/>
      <c r="V47" s="19"/>
      <c r="W47" s="2"/>
      <c r="X47" s="2">
        <f t="shared" si="2"/>
        <v>80.709999999999994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--45.53</f>
        <v>45.53</v>
      </c>
      <c r="Q48" s="2"/>
      <c r="R48" s="19"/>
      <c r="S48" s="2"/>
      <c r="T48" s="2"/>
      <c r="U48" s="2"/>
      <c r="V48" s="19"/>
      <c r="W48" s="2"/>
      <c r="X48" s="2">
        <f t="shared" si="2"/>
        <v>45.53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--68.25</f>
        <v>68.25</v>
      </c>
      <c r="Q49" s="2"/>
      <c r="R49" s="19"/>
      <c r="S49" s="2"/>
      <c r="T49" s="2"/>
      <c r="U49" s="2"/>
      <c r="V49" s="19"/>
      <c r="W49" s="2"/>
      <c r="X49" s="2">
        <f t="shared" si="2"/>
        <v>68.25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--16626.41</f>
        <v>16626.41</v>
      </c>
      <c r="E50" s="2"/>
      <c r="F50" s="19"/>
      <c r="G50" s="2"/>
      <c r="H50" s="2"/>
      <c r="I50" s="2"/>
      <c r="J50" s="19"/>
      <c r="K50" s="2"/>
      <c r="L50" s="2">
        <f t="shared" si="0"/>
        <v>16626.41</v>
      </c>
      <c r="M50" s="2"/>
      <c r="N50" s="19">
        <f t="shared" si="1"/>
        <v>0</v>
      </c>
      <c r="O50" s="11"/>
      <c r="P50" s="2">
        <f>--131751.69</f>
        <v>131751.69</v>
      </c>
      <c r="Q50" s="2"/>
      <c r="R50" s="19"/>
      <c r="S50" s="2"/>
      <c r="T50" s="2"/>
      <c r="U50" s="2"/>
      <c r="V50" s="19"/>
      <c r="W50" s="2"/>
      <c r="X50" s="2">
        <f t="shared" si="2"/>
        <v>131751.69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--1055.22</f>
        <v>1055.22</v>
      </c>
      <c r="E51" s="2"/>
      <c r="F51" s="19"/>
      <c r="G51" s="2"/>
      <c r="H51" s="2"/>
      <c r="I51" s="2"/>
      <c r="J51" s="19"/>
      <c r="K51" s="2"/>
      <c r="L51" s="2">
        <f t="shared" si="0"/>
        <v>1055.22</v>
      </c>
      <c r="M51" s="2"/>
      <c r="N51" s="19">
        <f t="shared" si="1"/>
        <v>0</v>
      </c>
      <c r="O51" s="11"/>
      <c r="P51" s="2">
        <f>--9568.24</f>
        <v>9568.24</v>
      </c>
      <c r="Q51" s="2"/>
      <c r="R51" s="19"/>
      <c r="S51" s="2"/>
      <c r="T51" s="2"/>
      <c r="U51" s="2"/>
      <c r="V51" s="19"/>
      <c r="W51" s="2"/>
      <c r="X51" s="2">
        <f t="shared" si="2"/>
        <v>9568.24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--16.9</f>
        <v>16.899999999999999</v>
      </c>
      <c r="E52" s="2"/>
      <c r="F52" s="19"/>
      <c r="G52" s="2"/>
      <c r="H52" s="2"/>
      <c r="I52" s="2"/>
      <c r="J52" s="19"/>
      <c r="K52" s="2"/>
      <c r="L52" s="2">
        <f t="shared" si="0"/>
        <v>16.899999999999999</v>
      </c>
      <c r="M52" s="2"/>
      <c r="N52" s="19">
        <f t="shared" si="1"/>
        <v>0</v>
      </c>
      <c r="O52" s="11"/>
      <c r="P52" s="2">
        <f>--2281.37</f>
        <v>2281.37</v>
      </c>
      <c r="Q52" s="2"/>
      <c r="R52" s="19"/>
      <c r="S52" s="2"/>
      <c r="T52" s="2"/>
      <c r="U52" s="2"/>
      <c r="V52" s="19"/>
      <c r="W52" s="2"/>
      <c r="X52" s="2">
        <f t="shared" si="2"/>
        <v>2281.37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>--261.82</f>
        <v>261.82</v>
      </c>
      <c r="E53" s="2"/>
      <c r="F53" s="19"/>
      <c r="G53" s="2"/>
      <c r="H53" s="2"/>
      <c r="I53" s="2"/>
      <c r="J53" s="19"/>
      <c r="K53" s="2"/>
      <c r="L53" s="2">
        <f t="shared" si="0"/>
        <v>261.82</v>
      </c>
      <c r="M53" s="2"/>
      <c r="N53" s="19">
        <f t="shared" si="1"/>
        <v>0</v>
      </c>
      <c r="O53" s="11"/>
      <c r="P53" s="2">
        <f>--2381.48</f>
        <v>2381.48</v>
      </c>
      <c r="Q53" s="2"/>
      <c r="R53" s="19"/>
      <c r="S53" s="2"/>
      <c r="T53" s="2"/>
      <c r="U53" s="2"/>
      <c r="V53" s="19"/>
      <c r="W53" s="2"/>
      <c r="X53" s="2">
        <f t="shared" si="2"/>
        <v>2381.48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--29.9</f>
        <v>29.9</v>
      </c>
      <c r="E54" s="2"/>
      <c r="F54" s="19"/>
      <c r="G54" s="2"/>
      <c r="H54" s="2"/>
      <c r="I54" s="2"/>
      <c r="J54" s="19"/>
      <c r="K54" s="2"/>
      <c r="L54" s="2">
        <f t="shared" si="0"/>
        <v>29.9</v>
      </c>
      <c r="M54" s="2"/>
      <c r="N54" s="19">
        <f t="shared" si="1"/>
        <v>0</v>
      </c>
      <c r="O54" s="11"/>
      <c r="P54" s="2">
        <f>--679.25</f>
        <v>679.25</v>
      </c>
      <c r="Q54" s="2"/>
      <c r="R54" s="19"/>
      <c r="S54" s="2"/>
      <c r="T54" s="2"/>
      <c r="U54" s="2"/>
      <c r="V54" s="19"/>
      <c r="W54" s="2"/>
      <c r="X54" s="2">
        <f t="shared" si="2"/>
        <v>679.25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0</f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--53716.09</f>
        <v>53716.09</v>
      </c>
      <c r="Q55" s="2"/>
      <c r="R55" s="19"/>
      <c r="S55" s="2"/>
      <c r="T55" s="2"/>
      <c r="U55" s="2"/>
      <c r="V55" s="19"/>
      <c r="W55" s="2"/>
      <c r="X55" s="2">
        <f t="shared" si="2"/>
        <v>53716.09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--90.7</f>
        <v>90.7</v>
      </c>
      <c r="E56" s="2"/>
      <c r="F56" s="19"/>
      <c r="G56" s="2"/>
      <c r="H56" s="2"/>
      <c r="I56" s="2"/>
      <c r="J56" s="19"/>
      <c r="K56" s="2"/>
      <c r="L56" s="2">
        <f t="shared" si="0"/>
        <v>90.7</v>
      </c>
      <c r="M56" s="2"/>
      <c r="N56" s="19">
        <f t="shared" si="1"/>
        <v>0</v>
      </c>
      <c r="O56" s="11"/>
      <c r="P56" s="2">
        <f>--299.1</f>
        <v>299.10000000000002</v>
      </c>
      <c r="Q56" s="2"/>
      <c r="R56" s="19"/>
      <c r="S56" s="2"/>
      <c r="T56" s="2"/>
      <c r="U56" s="2"/>
      <c r="V56" s="19"/>
      <c r="W56" s="2"/>
      <c r="X56" s="2">
        <f t="shared" si="2"/>
        <v>299.10000000000002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>--11</f>
        <v>11</v>
      </c>
      <c r="E57" s="2"/>
      <c r="F57" s="19"/>
      <c r="G57" s="2"/>
      <c r="H57" s="2"/>
      <c r="I57" s="2"/>
      <c r="J57" s="19"/>
      <c r="K57" s="2"/>
      <c r="L57" s="2">
        <f t="shared" si="0"/>
        <v>11</v>
      </c>
      <c r="M57" s="2"/>
      <c r="N57" s="19">
        <f t="shared" si="1"/>
        <v>0</v>
      </c>
      <c r="O57" s="11"/>
      <c r="P57" s="2">
        <f>--143.5</f>
        <v>143.5</v>
      </c>
      <c r="Q57" s="2"/>
      <c r="R57" s="19"/>
      <c r="S57" s="2"/>
      <c r="T57" s="2"/>
      <c r="U57" s="2"/>
      <c r="V57" s="19"/>
      <c r="W57" s="2"/>
      <c r="X57" s="2">
        <f t="shared" si="2"/>
        <v>143.5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-596.94</f>
        <v>-596.94000000000005</v>
      </c>
      <c r="E58" s="2"/>
      <c r="F58" s="19"/>
      <c r="G58" s="2"/>
      <c r="H58" s="2"/>
      <c r="I58" s="2"/>
      <c r="J58" s="19"/>
      <c r="K58" s="2"/>
      <c r="L58" s="2">
        <f t="shared" si="0"/>
        <v>-596.94000000000005</v>
      </c>
      <c r="M58" s="2"/>
      <c r="N58" s="19">
        <f t="shared" si="1"/>
        <v>0</v>
      </c>
      <c r="O58" s="11"/>
      <c r="P58" s="2">
        <f>-51261.17</f>
        <v>-51261.17</v>
      </c>
      <c r="Q58" s="2"/>
      <c r="R58" s="19"/>
      <c r="S58" s="2"/>
      <c r="T58" s="2"/>
      <c r="U58" s="2"/>
      <c r="V58" s="19"/>
      <c r="W58" s="2"/>
      <c r="X58" s="2">
        <f t="shared" si="2"/>
        <v>-51261.17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-153.8</f>
        <v>-153.80000000000001</v>
      </c>
      <c r="E59" s="2"/>
      <c r="F59" s="19"/>
      <c r="G59" s="2"/>
      <c r="H59" s="2"/>
      <c r="I59" s="2"/>
      <c r="J59" s="19"/>
      <c r="K59" s="2"/>
      <c r="L59" s="2">
        <f t="shared" si="0"/>
        <v>-153.80000000000001</v>
      </c>
      <c r="M59" s="2"/>
      <c r="N59" s="19">
        <f t="shared" si="1"/>
        <v>0</v>
      </c>
      <c r="O59" s="11"/>
      <c r="P59" s="2">
        <f>-19889.31</f>
        <v>-19889.310000000001</v>
      </c>
      <c r="Q59" s="2"/>
      <c r="R59" s="19"/>
      <c r="S59" s="2"/>
      <c r="T59" s="2"/>
      <c r="U59" s="2"/>
      <c r="V59" s="19"/>
      <c r="W59" s="2"/>
      <c r="X59" s="2">
        <f t="shared" si="2"/>
        <v>-19889.310000000001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 t="shared" ref="D60:D61" si="7"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-1763.1</f>
        <v>-1763.1</v>
      </c>
      <c r="Q60" s="2"/>
      <c r="R60" s="19"/>
      <c r="S60" s="2"/>
      <c r="T60" s="2"/>
      <c r="U60" s="2"/>
      <c r="V60" s="19"/>
      <c r="W60" s="2"/>
      <c r="X60" s="2">
        <f t="shared" si="2"/>
        <v>-1763.1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"4213", " - ", "NON-TAXABLE SALES-TRADE BOOKS")</f>
        <v xml:space="preserve">          4213 - NON-TAXABLE SALES-TRADE BOOKS</v>
      </c>
      <c r="C61" s="11"/>
      <c r="D61" s="2">
        <f t="shared" si="7"/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-69.93</f>
        <v>-69.930000000000007</v>
      </c>
      <c r="Q61" s="2"/>
      <c r="R61" s="19"/>
      <c r="S61" s="2"/>
      <c r="T61" s="2"/>
      <c r="U61" s="2"/>
      <c r="V61" s="19"/>
      <c r="W61" s="2"/>
      <c r="X61" s="2">
        <f t="shared" si="2"/>
        <v>-69.930000000000007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"4218", " - ", "SALES RETURN TAXABLE-STUDY GUI")</f>
        <v xml:space="preserve">          4218 - SALES RETURN TAXABLE-STUDY GUI</v>
      </c>
      <c r="C62" s="11"/>
      <c r="D62" s="2">
        <f>-5.21</f>
        <v>-5.21</v>
      </c>
      <c r="E62" s="2"/>
      <c r="F62" s="19"/>
      <c r="G62" s="2"/>
      <c r="H62" s="2"/>
      <c r="I62" s="2"/>
      <c r="J62" s="19"/>
      <c r="K62" s="2"/>
      <c r="L62" s="2">
        <f t="shared" si="0"/>
        <v>-5.21</v>
      </c>
      <c r="M62" s="2"/>
      <c r="N62" s="19">
        <f t="shared" si="1"/>
        <v>0</v>
      </c>
      <c r="O62" s="11"/>
      <c r="P62" s="2">
        <f>-5.21</f>
        <v>-5.21</v>
      </c>
      <c r="Q62" s="2"/>
      <c r="R62" s="19"/>
      <c r="S62" s="2"/>
      <c r="T62" s="2"/>
      <c r="U62" s="2"/>
      <c r="V62" s="19"/>
      <c r="W62" s="2"/>
      <c r="X62" s="2">
        <f t="shared" si="2"/>
        <v>-5.21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"4226", " - ", "SALES RETURN TAXABLE-WRITING I")</f>
        <v xml:space="preserve">          4226 - SALES RETURN TAXABLE-WRITING I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-34.23</f>
        <v>-34.229999999999997</v>
      </c>
      <c r="Q63" s="2"/>
      <c r="R63" s="19"/>
      <c r="S63" s="2"/>
      <c r="T63" s="2"/>
      <c r="U63" s="2"/>
      <c r="V63" s="19"/>
      <c r="W63" s="2"/>
      <c r="X63" s="2">
        <f t="shared" si="2"/>
        <v>-34.229999999999997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"4227", " - ", "SALES RETURN TAXABLE-SCHOOL SU")</f>
        <v xml:space="preserve">          4227 - SALES RETURN TAXABLE-SCHOOL SU</v>
      </c>
      <c r="C64" s="11"/>
      <c r="D64" s="2">
        <f>-64.39</f>
        <v>-64.39</v>
      </c>
      <c r="E64" s="2"/>
      <c r="F64" s="19"/>
      <c r="G64" s="2"/>
      <c r="H64" s="2"/>
      <c r="I64" s="2"/>
      <c r="J64" s="19"/>
      <c r="K64" s="2"/>
      <c r="L64" s="2">
        <f t="shared" si="0"/>
        <v>-64.39</v>
      </c>
      <c r="M64" s="2"/>
      <c r="N64" s="19">
        <f t="shared" si="1"/>
        <v>0</v>
      </c>
      <c r="O64" s="11"/>
      <c r="P64" s="2">
        <f>-846.12</f>
        <v>-846.12</v>
      </c>
      <c r="Q64" s="2"/>
      <c r="R64" s="19"/>
      <c r="S64" s="2"/>
      <c r="T64" s="2"/>
      <c r="U64" s="2"/>
      <c r="V64" s="19"/>
      <c r="W64" s="2"/>
      <c r="X64" s="2">
        <f t="shared" si="2"/>
        <v>-846.12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"4228", " - ", "SALES RETURN TAXABLE-ART/TECH")</f>
        <v xml:space="preserve">          4228 - SALES RETURN TAXABLE-ART/TECH</v>
      </c>
      <c r="C65" s="11"/>
      <c r="D65" s="2">
        <f>-98.38</f>
        <v>-98.38</v>
      </c>
      <c r="E65" s="2"/>
      <c r="F65" s="19"/>
      <c r="G65" s="2"/>
      <c r="H65" s="2"/>
      <c r="I65" s="2"/>
      <c r="J65" s="19"/>
      <c r="K65" s="2"/>
      <c r="L65" s="2">
        <f t="shared" si="0"/>
        <v>-98.38</v>
      </c>
      <c r="M65" s="2"/>
      <c r="N65" s="19">
        <f t="shared" si="1"/>
        <v>0</v>
      </c>
      <c r="O65" s="11"/>
      <c r="P65" s="2">
        <f>-12837.62</f>
        <v>-12837.62</v>
      </c>
      <c r="Q65" s="2"/>
      <c r="R65" s="19"/>
      <c r="S65" s="2"/>
      <c r="T65" s="2"/>
      <c r="U65" s="2"/>
      <c r="V65" s="19"/>
      <c r="W65" s="2"/>
      <c r="X65" s="2">
        <f t="shared" si="2"/>
        <v>-12837.62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"4240", " - ", "SALES RETURN TAXABLE-LOGO CLOT")</f>
        <v xml:space="preserve">          4240 - SALES RETURN TAXABLE-LOGO CLOT</v>
      </c>
      <c r="C66" s="11"/>
      <c r="D66" s="2">
        <f>-3924.84</f>
        <v>-3924.84</v>
      </c>
      <c r="E66" s="2"/>
      <c r="F66" s="19"/>
      <c r="G66" s="2"/>
      <c r="H66" s="2"/>
      <c r="I66" s="2"/>
      <c r="J66" s="19"/>
      <c r="K66" s="2"/>
      <c r="L66" s="2">
        <f t="shared" si="0"/>
        <v>-3924.84</v>
      </c>
      <c r="M66" s="2"/>
      <c r="N66" s="19">
        <f t="shared" si="1"/>
        <v>0</v>
      </c>
      <c r="O66" s="11"/>
      <c r="P66" s="2">
        <f>-35054.35</f>
        <v>-35054.35</v>
      </c>
      <c r="Q66" s="2"/>
      <c r="R66" s="19"/>
      <c r="S66" s="2"/>
      <c r="T66" s="2"/>
      <c r="U66" s="2"/>
      <c r="V66" s="19"/>
      <c r="W66" s="2"/>
      <c r="X66" s="2">
        <f t="shared" si="2"/>
        <v>-35054.35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"4241", " - ", "SALES RETURN TAXABLE-LOGO GIFT")</f>
        <v xml:space="preserve">          4241 - SALES RETURN TAXABLE-LOGO GIFT</v>
      </c>
      <c r="C67" s="11"/>
      <c r="D67" s="2">
        <f>-1222.82</f>
        <v>-1222.82</v>
      </c>
      <c r="E67" s="2"/>
      <c r="F67" s="19"/>
      <c r="G67" s="2"/>
      <c r="H67" s="2"/>
      <c r="I67" s="2"/>
      <c r="J67" s="19"/>
      <c r="K67" s="2"/>
      <c r="L67" s="2">
        <f t="shared" si="0"/>
        <v>-1222.82</v>
      </c>
      <c r="M67" s="2"/>
      <c r="N67" s="19">
        <f t="shared" si="1"/>
        <v>0</v>
      </c>
      <c r="O67" s="11"/>
      <c r="P67" s="2">
        <f>-6518.34</f>
        <v>-6518.34</v>
      </c>
      <c r="Q67" s="2"/>
      <c r="R67" s="19"/>
      <c r="S67" s="2"/>
      <c r="T67" s="2"/>
      <c r="U67" s="2"/>
      <c r="V67" s="19"/>
      <c r="W67" s="2"/>
      <c r="X67" s="2">
        <f t="shared" si="2"/>
        <v>-6518.34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"4242", " - ", "SALES RETURN TAXABLE-EVERYDAY")</f>
        <v xml:space="preserve">          4242 - SALES RETURN TAXABLE-EVERYDAY</v>
      </c>
      <c r="C68" s="11"/>
      <c r="D68" s="2">
        <f>-565.08</f>
        <v>-565.08000000000004</v>
      </c>
      <c r="E68" s="2"/>
      <c r="F68" s="19"/>
      <c r="G68" s="2"/>
      <c r="H68" s="2"/>
      <c r="I68" s="2"/>
      <c r="J68" s="19"/>
      <c r="K68" s="2"/>
      <c r="L68" s="2">
        <f t="shared" si="0"/>
        <v>-565.08000000000004</v>
      </c>
      <c r="M68" s="2"/>
      <c r="N68" s="19">
        <f t="shared" si="1"/>
        <v>0</v>
      </c>
      <c r="O68" s="11"/>
      <c r="P68" s="2">
        <f>-2303.82</f>
        <v>-2303.8200000000002</v>
      </c>
      <c r="Q68" s="2"/>
      <c r="R68" s="19"/>
      <c r="S68" s="2"/>
      <c r="T68" s="2"/>
      <c r="U68" s="2"/>
      <c r="V68" s="19"/>
      <c r="W68" s="2"/>
      <c r="X68" s="2">
        <f t="shared" si="2"/>
        <v>-2303.8200000000002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"4243", " - ", "SALES RETURN TAXABLE-CARDS")</f>
        <v xml:space="preserve">          4243 - SALES RETURN TAXABLE-CARDS</v>
      </c>
      <c r="C69" s="11"/>
      <c r="D69" s="2">
        <f>-572.63</f>
        <v>-572.63</v>
      </c>
      <c r="E69" s="2"/>
      <c r="F69" s="19"/>
      <c r="G69" s="2"/>
      <c r="H69" s="2"/>
      <c r="I69" s="2"/>
      <c r="J69" s="19"/>
      <c r="K69" s="2"/>
      <c r="L69" s="2">
        <f t="shared" si="0"/>
        <v>-572.63</v>
      </c>
      <c r="M69" s="2"/>
      <c r="N69" s="19">
        <f t="shared" si="1"/>
        <v>0</v>
      </c>
      <c r="O69" s="11"/>
      <c r="P69" s="2">
        <f>-5942.23</f>
        <v>-5942.23</v>
      </c>
      <c r="Q69" s="2"/>
      <c r="R69" s="19"/>
      <c r="S69" s="2"/>
      <c r="T69" s="2"/>
      <c r="U69" s="2"/>
      <c r="V69" s="19"/>
      <c r="W69" s="2"/>
      <c r="X69" s="2">
        <f t="shared" si="2"/>
        <v>-5942.23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"4244", " - ", "SALES RETURN TAXABLE-ACCESSORI")</f>
        <v xml:space="preserve">          4244 - SALES RETURN TAXABLE-ACCESSORI</v>
      </c>
      <c r="C70" s="11"/>
      <c r="D70" s="2">
        <f>-240.42</f>
        <v>-240.42</v>
      </c>
      <c r="E70" s="2"/>
      <c r="F70" s="19"/>
      <c r="G70" s="2"/>
      <c r="H70" s="2"/>
      <c r="I70" s="2"/>
      <c r="J70" s="19"/>
      <c r="K70" s="2"/>
      <c r="L70" s="2">
        <f t="shared" si="0"/>
        <v>-240.42</v>
      </c>
      <c r="M70" s="2"/>
      <c r="N70" s="19">
        <f t="shared" si="1"/>
        <v>0</v>
      </c>
      <c r="O70" s="11"/>
      <c r="P70" s="2">
        <f>-1235.26</f>
        <v>-1235.26</v>
      </c>
      <c r="Q70" s="2"/>
      <c r="R70" s="19"/>
      <c r="S70" s="2"/>
      <c r="T70" s="2"/>
      <c r="U70" s="2"/>
      <c r="V70" s="19"/>
      <c r="W70" s="2"/>
      <c r="X70" s="2">
        <f t="shared" si="2"/>
        <v>-1235.26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"4245", " - ", "SALES RETURN TAXABLE-SPECIAL O")</f>
        <v xml:space="preserve">          4245 - SALES RETURN TAXABLE-SPECIAL O</v>
      </c>
      <c r="C71" s="11"/>
      <c r="D71" s="2">
        <f t="shared" ref="D71:D72" si="8"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-11353.59</f>
        <v>-11353.59</v>
      </c>
      <c r="Q71" s="2"/>
      <c r="R71" s="19"/>
      <c r="S71" s="2"/>
      <c r="T71" s="2"/>
      <c r="U71" s="2"/>
      <c r="V71" s="19"/>
      <c r="W71" s="2"/>
      <c r="X71" s="2">
        <f t="shared" si="2"/>
        <v>-11353.59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"4301", " - ", "SALES RETURN NON TAXABLE-NEW T")</f>
        <v xml:space="preserve">          4301 - SALES RETURN NON TAXABLE-NEW T</v>
      </c>
      <c r="C72" s="11"/>
      <c r="D72" s="2">
        <f t="shared" si="8"/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-3237.29</f>
        <v>-3237.29</v>
      </c>
      <c r="Q72" s="2"/>
      <c r="R72" s="19"/>
      <c r="S72" s="2"/>
      <c r="T72" s="2"/>
      <c r="U72" s="2"/>
      <c r="V72" s="19"/>
      <c r="W72" s="2"/>
      <c r="X72" s="2">
        <f t="shared" si="2"/>
        <v>-3237.29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"4302", " - ", "SALES RETURN NON TAXABLE-TEXT")</f>
        <v xml:space="preserve">          4302 - SALES RETURN NON TAXABLE-TEXT</v>
      </c>
      <c r="C73" s="11"/>
      <c r="D73" s="2">
        <f>-270.87</f>
        <v>-270.87</v>
      </c>
      <c r="E73" s="2"/>
      <c r="F73" s="19"/>
      <c r="G73" s="2"/>
      <c r="H73" s="2"/>
      <c r="I73" s="2"/>
      <c r="J73" s="19"/>
      <c r="K73" s="2"/>
      <c r="L73" s="2">
        <f t="shared" si="0"/>
        <v>-270.87</v>
      </c>
      <c r="M73" s="2"/>
      <c r="N73" s="19">
        <f t="shared" si="1"/>
        <v>0</v>
      </c>
      <c r="O73" s="11"/>
      <c r="P73" s="2">
        <f>-2344.35</f>
        <v>-2344.35</v>
      </c>
      <c r="Q73" s="2"/>
      <c r="R73" s="19"/>
      <c r="S73" s="2"/>
      <c r="T73" s="2"/>
      <c r="U73" s="2"/>
      <c r="V73" s="19"/>
      <c r="W73" s="2"/>
      <c r="X73" s="2">
        <f t="shared" si="2"/>
        <v>-2344.35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"4304", " - ", "SALES RETURN NON TAXABLE-DIGIT")</f>
        <v xml:space="preserve">          4304 - SALES RETURN NON TAXABLE-DIGIT</v>
      </c>
      <c r="C74" s="11"/>
      <c r="D74" s="2">
        <f>-275.04</f>
        <v>-275.04000000000002</v>
      </c>
      <c r="E74" s="2"/>
      <c r="F74" s="19"/>
      <c r="G74" s="2"/>
      <c r="H74" s="2"/>
      <c r="I74" s="2"/>
      <c r="J74" s="19"/>
      <c r="K74" s="2"/>
      <c r="L74" s="2">
        <f t="shared" si="0"/>
        <v>-275.04000000000002</v>
      </c>
      <c r="M74" s="2"/>
      <c r="N74" s="19">
        <f t="shared" si="1"/>
        <v>0</v>
      </c>
      <c r="O74" s="11"/>
      <c r="P74" s="2">
        <f>-27543.76</f>
        <v>-27543.759999999998</v>
      </c>
      <c r="Q74" s="2"/>
      <c r="R74" s="19"/>
      <c r="S74" s="2"/>
      <c r="T74" s="2"/>
      <c r="U74" s="2"/>
      <c r="V74" s="19"/>
      <c r="W74" s="2"/>
      <c r="X74" s="2">
        <f t="shared" si="2"/>
        <v>-27543.759999999998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"4340", " - ", "SALES RETURN NON TAXABLE-LOGO")</f>
        <v xml:space="preserve">          4340 - SALES RETURN NON TAXABLE-LOGO</v>
      </c>
      <c r="C75" s="11"/>
      <c r="D75" s="2">
        <f>-350.55</f>
        <v>-350.55</v>
      </c>
      <c r="E75" s="2"/>
      <c r="F75" s="19"/>
      <c r="G75" s="2"/>
      <c r="H75" s="2"/>
      <c r="I75" s="2"/>
      <c r="J75" s="19"/>
      <c r="K75" s="2"/>
      <c r="L75" s="2">
        <f t="shared" si="0"/>
        <v>-350.55</v>
      </c>
      <c r="M75" s="2"/>
      <c r="N75" s="19">
        <f t="shared" si="1"/>
        <v>0</v>
      </c>
      <c r="O75" s="11"/>
      <c r="P75" s="2">
        <f>-2643.39</f>
        <v>-2643.39</v>
      </c>
      <c r="Q75" s="2"/>
      <c r="R75" s="19"/>
      <c r="S75" s="2"/>
      <c r="T75" s="2"/>
      <c r="U75" s="2"/>
      <c r="V75" s="19"/>
      <c r="W75" s="2"/>
      <c r="X75" s="2">
        <f t="shared" si="2"/>
        <v>-2643.39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"4341", " - ", "SALES RETURN NON TAXABLE-LOGO")</f>
        <v xml:space="preserve">          4341 - SALES RETURN NON TAXABLE-LOGO</v>
      </c>
      <c r="C76" s="11"/>
      <c r="D76" s="2">
        <f>-29.9</f>
        <v>-29.9</v>
      </c>
      <c r="E76" s="2"/>
      <c r="F76" s="19"/>
      <c r="G76" s="2"/>
      <c r="H76" s="2"/>
      <c r="I76" s="2"/>
      <c r="J76" s="19"/>
      <c r="K76" s="2"/>
      <c r="L76" s="2">
        <f t="shared" si="0"/>
        <v>-29.9</v>
      </c>
      <c r="M76" s="2"/>
      <c r="N76" s="19">
        <f t="shared" si="1"/>
        <v>0</v>
      </c>
      <c r="O76" s="11"/>
      <c r="P76" s="2">
        <f>-392.54</f>
        <v>-392.54</v>
      </c>
      <c r="Q76" s="2"/>
      <c r="R76" s="19"/>
      <c r="S76" s="2"/>
      <c r="T76" s="2"/>
      <c r="U76" s="2"/>
      <c r="V76" s="19"/>
      <c r="W76" s="2"/>
      <c r="X76" s="2">
        <f t="shared" si="2"/>
        <v>-392.54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"4342", " - ", "SALES RETURN NON TAXABLE-EVERY")</f>
        <v xml:space="preserve">          4342 - SALES RETURN NON TAXABLE-EVERY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-118.7</f>
        <v>-118.7</v>
      </c>
      <c r="Q77" s="2"/>
      <c r="R77" s="19"/>
      <c r="S77" s="2"/>
      <c r="T77" s="2"/>
      <c r="U77" s="2"/>
      <c r="V77" s="19"/>
      <c r="W77" s="2"/>
      <c r="X77" s="2">
        <f t="shared" si="2"/>
        <v>-118.7</v>
      </c>
      <c r="Y77" s="2"/>
      <c r="Z77" s="19">
        <f t="shared" si="3"/>
        <v>0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25">
      <c r="A79" s="10"/>
      <c r="B79" s="28" t="s">
        <v>257</v>
      </c>
      <c r="C79" s="10"/>
      <c r="D79" s="4">
        <f>SUM(OSRRefD16x_0)</f>
        <v>98448.850000000049</v>
      </c>
      <c r="E79" s="4"/>
      <c r="F79" s="12">
        <f t="shared" ref="F79:F118" si="9">IF(D$12=0,0,D79/D$12)</f>
        <v>0.5353545592158816</v>
      </c>
      <c r="G79" s="4"/>
      <c r="H79" s="4">
        <f>SUM(OSRRefH16x_0)</f>
        <v>184119</v>
      </c>
      <c r="I79" s="4"/>
      <c r="J79" s="12">
        <f t="shared" ref="J79:J118" si="10">IF(H$12=0,0,H79/H$12)</f>
        <v>0.44670753986835499</v>
      </c>
      <c r="K79" s="4"/>
      <c r="L79" s="4">
        <f t="shared" ref="L79:L118" si="11">+D79-H79</f>
        <v>-85670.149999999951</v>
      </c>
      <c r="M79" s="4"/>
      <c r="N79" s="12">
        <f t="shared" ref="N79:N118" si="12">IF(H79=0,0,L79/H79)</f>
        <v>-0.46529771506471329</v>
      </c>
      <c r="O79" s="10"/>
      <c r="P79" s="4">
        <f>SUM(OSRRefP16x_0)</f>
        <v>2720975.7600000002</v>
      </c>
      <c r="Q79" s="4"/>
      <c r="R79" s="12">
        <f t="shared" ref="R79:R118" si="13">IF(P$12=0,0,P79/P$12)</f>
        <v>0.63810160281927164</v>
      </c>
      <c r="S79" s="4"/>
      <c r="T79" s="4">
        <f>SUM(OSRRefT16x_0)</f>
        <v>4580822</v>
      </c>
      <c r="U79" s="4"/>
      <c r="V79" s="12">
        <f t="shared" ref="V79:V118" si="14">IF(T$12=0,0,T79/T$12)</f>
        <v>0.59345174846410376</v>
      </c>
      <c r="W79" s="4"/>
      <c r="X79" s="4">
        <f t="shared" ref="X79:X118" si="15">+P79-T79</f>
        <v>-1859846.2399999998</v>
      </c>
      <c r="Y79" s="4"/>
      <c r="Z79" s="12">
        <f t="shared" ref="Z79:Z118" si="16">IF(T79=0,0,X79/T79)</f>
        <v>-0.40600709654293482</v>
      </c>
    </row>
    <row r="80" spans="1:26" s="24" customFormat="1" hidden="1" outlineLevel="1" x14ac:dyDescent="0.25">
      <c r="A80" s="44"/>
      <c r="B80" s="11" t="str">
        <f>CONCATENATE("          ", "5000", " - ", "PURCHASES @ COST")</f>
        <v xml:space="preserve">          5000 - PURCHASES @ COST</v>
      </c>
      <c r="C80" s="11"/>
      <c r="D80" s="2">
        <v>0</v>
      </c>
      <c r="E80" s="2"/>
      <c r="F80" s="19">
        <f t="shared" si="9"/>
        <v>0</v>
      </c>
      <c r="G80" s="2"/>
      <c r="H80" s="2">
        <v>184119</v>
      </c>
      <c r="I80" s="2"/>
      <c r="J80" s="19">
        <f t="shared" si="10"/>
        <v>0.44670753986835499</v>
      </c>
      <c r="K80" s="2"/>
      <c r="L80" s="2">
        <f t="shared" si="11"/>
        <v>-184119</v>
      </c>
      <c r="M80" s="2"/>
      <c r="N80" s="19">
        <f t="shared" si="12"/>
        <v>-1</v>
      </c>
      <c r="O80" s="11"/>
      <c r="P80" s="2">
        <v>0</v>
      </c>
      <c r="Q80" s="2"/>
      <c r="R80" s="19">
        <f t="shared" si="13"/>
        <v>0</v>
      </c>
      <c r="S80" s="2"/>
      <c r="T80" s="2">
        <v>4580822</v>
      </c>
      <c r="U80" s="2"/>
      <c r="V80" s="19">
        <f t="shared" si="14"/>
        <v>0.59345174846410376</v>
      </c>
      <c r="W80" s="2"/>
      <c r="X80" s="2">
        <f t="shared" si="15"/>
        <v>-4580822</v>
      </c>
      <c r="Y80" s="2"/>
      <c r="Z80" s="19">
        <f t="shared" si="16"/>
        <v>-1</v>
      </c>
    </row>
    <row r="81" spans="1:26" s="24" customFormat="1" hidden="1" outlineLevel="1" x14ac:dyDescent="0.25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>
        <v>-290899.24</v>
      </c>
      <c r="E81" s="2"/>
      <c r="F81" s="19">
        <f t="shared" si="9"/>
        <v>-1.5818796705744647</v>
      </c>
      <c r="G81" s="2"/>
      <c r="H81" s="2"/>
      <c r="I81" s="2"/>
      <c r="J81" s="19">
        <f t="shared" si="10"/>
        <v>0</v>
      </c>
      <c r="K81" s="2"/>
      <c r="L81" s="2">
        <f t="shared" si="11"/>
        <v>-290899.24</v>
      </c>
      <c r="M81" s="2"/>
      <c r="N81" s="19">
        <f t="shared" si="12"/>
        <v>0</v>
      </c>
      <c r="O81" s="11"/>
      <c r="P81" s="2">
        <v>1035516.4</v>
      </c>
      <c r="Q81" s="2"/>
      <c r="R81" s="19">
        <f t="shared" si="13"/>
        <v>0.24284107352196402</v>
      </c>
      <c r="S81" s="2"/>
      <c r="T81" s="2"/>
      <c r="U81" s="2"/>
      <c r="V81" s="19">
        <f t="shared" si="14"/>
        <v>0</v>
      </c>
      <c r="W81" s="2"/>
      <c r="X81" s="2">
        <f t="shared" si="15"/>
        <v>1035516.4</v>
      </c>
      <c r="Y81" s="2"/>
      <c r="Z81" s="19">
        <f t="shared" si="16"/>
        <v>0</v>
      </c>
    </row>
    <row r="82" spans="1:26" s="24" customFormat="1" hidden="1" outlineLevel="1" x14ac:dyDescent="0.25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>
        <v>14728.45</v>
      </c>
      <c r="E82" s="2"/>
      <c r="F82" s="19">
        <f t="shared" si="9"/>
        <v>8.0091772099756861E-2</v>
      </c>
      <c r="G82" s="2"/>
      <c r="H82" s="2"/>
      <c r="I82" s="2"/>
      <c r="J82" s="19">
        <f t="shared" si="10"/>
        <v>0</v>
      </c>
      <c r="K82" s="2"/>
      <c r="L82" s="2">
        <f t="shared" si="11"/>
        <v>14728.45</v>
      </c>
      <c r="M82" s="2"/>
      <c r="N82" s="19">
        <f t="shared" si="12"/>
        <v>0</v>
      </c>
      <c r="O82" s="11"/>
      <c r="P82" s="2">
        <v>397052.67</v>
      </c>
      <c r="Q82" s="2"/>
      <c r="R82" s="19">
        <f t="shared" si="13"/>
        <v>9.3113635503563358E-2</v>
      </c>
      <c r="S82" s="2"/>
      <c r="T82" s="2"/>
      <c r="U82" s="2"/>
      <c r="V82" s="19">
        <f t="shared" si="14"/>
        <v>0</v>
      </c>
      <c r="W82" s="2"/>
      <c r="X82" s="2">
        <f t="shared" si="15"/>
        <v>397052.67</v>
      </c>
      <c r="Y82" s="2"/>
      <c r="Z82" s="19">
        <f t="shared" si="16"/>
        <v>0</v>
      </c>
    </row>
    <row r="83" spans="1:26" s="24" customFormat="1" hidden="1" outlineLevel="1" x14ac:dyDescent="0.25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9"/>
        <v>0</v>
      </c>
      <c r="G83" s="2"/>
      <c r="H83" s="2"/>
      <c r="I83" s="2"/>
      <c r="J83" s="19">
        <f t="shared" si="10"/>
        <v>0</v>
      </c>
      <c r="K83" s="2"/>
      <c r="L83" s="2">
        <f t="shared" si="11"/>
        <v>0</v>
      </c>
      <c r="M83" s="2"/>
      <c r="N83" s="19">
        <f t="shared" si="12"/>
        <v>0</v>
      </c>
      <c r="O83" s="11"/>
      <c r="P83" s="2">
        <v>32.520000000000003</v>
      </c>
      <c r="Q83" s="2"/>
      <c r="R83" s="19">
        <f t="shared" si="13"/>
        <v>7.6263318581282445E-6</v>
      </c>
      <c r="S83" s="2"/>
      <c r="T83" s="2"/>
      <c r="U83" s="2"/>
      <c r="V83" s="19">
        <f t="shared" si="14"/>
        <v>0</v>
      </c>
      <c r="W83" s="2"/>
      <c r="X83" s="2">
        <f t="shared" si="15"/>
        <v>32.520000000000003</v>
      </c>
      <c r="Y83" s="2"/>
      <c r="Z83" s="19">
        <f t="shared" si="16"/>
        <v>0</v>
      </c>
    </row>
    <row r="84" spans="1:26" s="24" customFormat="1" hidden="1" outlineLevel="1" x14ac:dyDescent="0.25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>
        <v>-13446.08</v>
      </c>
      <c r="E84" s="2"/>
      <c r="F84" s="19">
        <f t="shared" si="9"/>
        <v>-7.3118378036731546E-2</v>
      </c>
      <c r="G84" s="2"/>
      <c r="H84" s="2"/>
      <c r="I84" s="2"/>
      <c r="J84" s="19">
        <f t="shared" si="10"/>
        <v>0</v>
      </c>
      <c r="K84" s="2"/>
      <c r="L84" s="2">
        <f t="shared" si="11"/>
        <v>-13446.08</v>
      </c>
      <c r="M84" s="2"/>
      <c r="N84" s="19">
        <f t="shared" si="12"/>
        <v>0</v>
      </c>
      <c r="O84" s="11"/>
      <c r="P84" s="2">
        <v>206562.5</v>
      </c>
      <c r="Q84" s="2"/>
      <c r="R84" s="19">
        <f t="shared" si="13"/>
        <v>4.8441395278124702E-2</v>
      </c>
      <c r="S84" s="2"/>
      <c r="T84" s="2"/>
      <c r="U84" s="2"/>
      <c r="V84" s="19">
        <f t="shared" si="14"/>
        <v>0</v>
      </c>
      <c r="W84" s="2"/>
      <c r="X84" s="2">
        <f t="shared" si="15"/>
        <v>206562.5</v>
      </c>
      <c r="Y84" s="2"/>
      <c r="Z84" s="19">
        <f t="shared" si="16"/>
        <v>0</v>
      </c>
    </row>
    <row r="85" spans="1:26" s="24" customFormat="1" hidden="1" outlineLevel="1" x14ac:dyDescent="0.25">
      <c r="A85" s="44"/>
      <c r="B85" s="11" t="str">
        <f>CONCATENATE("          ", "5011", " - ", "PURCHASES @ COST-NO VALUE TEXT")</f>
        <v xml:space="preserve">          5011 - PURCHASES @ COST-NO VALUE TEXT</v>
      </c>
      <c r="C85" s="11"/>
      <c r="D85" s="2"/>
      <c r="E85" s="2"/>
      <c r="F85" s="19">
        <f t="shared" si="9"/>
        <v>0</v>
      </c>
      <c r="G85" s="2"/>
      <c r="H85" s="2"/>
      <c r="I85" s="2"/>
      <c r="J85" s="19">
        <f t="shared" si="10"/>
        <v>0</v>
      </c>
      <c r="K85" s="2"/>
      <c r="L85" s="2">
        <f t="shared" si="11"/>
        <v>0</v>
      </c>
      <c r="M85" s="2"/>
      <c r="N85" s="19">
        <f t="shared" si="12"/>
        <v>0</v>
      </c>
      <c r="O85" s="11"/>
      <c r="P85" s="2">
        <v>67.17</v>
      </c>
      <c r="Q85" s="2"/>
      <c r="R85" s="19">
        <f t="shared" si="13"/>
        <v>1.5752174382240904E-5</v>
      </c>
      <c r="S85" s="2"/>
      <c r="T85" s="2"/>
      <c r="U85" s="2"/>
      <c r="V85" s="19">
        <f t="shared" si="14"/>
        <v>0</v>
      </c>
      <c r="W85" s="2"/>
      <c r="X85" s="2">
        <f t="shared" si="15"/>
        <v>67.17</v>
      </c>
      <c r="Y85" s="2"/>
      <c r="Z85" s="19">
        <f t="shared" si="16"/>
        <v>0</v>
      </c>
    </row>
    <row r="86" spans="1:26" s="24" customFormat="1" hidden="1" outlineLevel="1" x14ac:dyDescent="0.25">
      <c r="A86" s="44"/>
      <c r="B86" s="11" t="str">
        <f>CONCATENATE("          ", "5013", " - ", "PURCHASES @ COST-TRADE BOOKS")</f>
        <v xml:space="preserve">          5013 - PURCHASES @ COST-TRADE BOOKS</v>
      </c>
      <c r="C86" s="11"/>
      <c r="D86" s="2">
        <v>2907.93</v>
      </c>
      <c r="E86" s="2"/>
      <c r="F86" s="19">
        <f t="shared" si="9"/>
        <v>1.5813019485556589E-2</v>
      </c>
      <c r="G86" s="2"/>
      <c r="H86" s="2"/>
      <c r="I86" s="2"/>
      <c r="J86" s="19">
        <f t="shared" si="10"/>
        <v>0</v>
      </c>
      <c r="K86" s="2"/>
      <c r="L86" s="2">
        <f t="shared" si="11"/>
        <v>2907.93</v>
      </c>
      <c r="M86" s="2"/>
      <c r="N86" s="19">
        <f t="shared" si="12"/>
        <v>0</v>
      </c>
      <c r="O86" s="11"/>
      <c r="P86" s="2">
        <v>8870.02</v>
      </c>
      <c r="Q86" s="2"/>
      <c r="R86" s="19">
        <f t="shared" si="13"/>
        <v>2.0801265715939326E-3</v>
      </c>
      <c r="S86" s="2"/>
      <c r="T86" s="2"/>
      <c r="U86" s="2"/>
      <c r="V86" s="19">
        <f t="shared" si="14"/>
        <v>0</v>
      </c>
      <c r="W86" s="2"/>
      <c r="X86" s="2">
        <f t="shared" si="15"/>
        <v>8870.02</v>
      </c>
      <c r="Y86" s="2"/>
      <c r="Z86" s="19">
        <f t="shared" si="16"/>
        <v>0</v>
      </c>
    </row>
    <row r="87" spans="1:26" s="24" customFormat="1" hidden="1" outlineLevel="1" x14ac:dyDescent="0.25">
      <c r="A87" s="44"/>
      <c r="B87" s="11" t="str">
        <f>CONCATENATE("          ", "5014", " - ", "PURCHASES @ COST-REMAINDERS")</f>
        <v xml:space="preserve">          5014 - PURCHASES @ COST-REMAINDERS</v>
      </c>
      <c r="C87" s="11"/>
      <c r="D87" s="2"/>
      <c r="E87" s="2"/>
      <c r="F87" s="19">
        <f t="shared" si="9"/>
        <v>0</v>
      </c>
      <c r="G87" s="2"/>
      <c r="H87" s="2"/>
      <c r="I87" s="2"/>
      <c r="J87" s="19">
        <f t="shared" si="10"/>
        <v>0</v>
      </c>
      <c r="K87" s="2"/>
      <c r="L87" s="2">
        <f t="shared" si="11"/>
        <v>0</v>
      </c>
      <c r="M87" s="2"/>
      <c r="N87" s="19">
        <f t="shared" si="12"/>
        <v>0</v>
      </c>
      <c r="O87" s="11"/>
      <c r="P87" s="2">
        <v>111.57</v>
      </c>
      <c r="Q87" s="2"/>
      <c r="R87" s="19">
        <f t="shared" si="13"/>
        <v>2.6164509391493486E-5</v>
      </c>
      <c r="S87" s="2"/>
      <c r="T87" s="2"/>
      <c r="U87" s="2"/>
      <c r="V87" s="19">
        <f t="shared" si="14"/>
        <v>0</v>
      </c>
      <c r="W87" s="2"/>
      <c r="X87" s="2">
        <f t="shared" si="15"/>
        <v>111.57</v>
      </c>
      <c r="Y87" s="2"/>
      <c r="Z87" s="19">
        <f t="shared" si="16"/>
        <v>0</v>
      </c>
    </row>
    <row r="88" spans="1:26" s="24" customFormat="1" hidden="1" outlineLevel="1" x14ac:dyDescent="0.25">
      <c r="A88" s="44"/>
      <c r="B88" s="11" t="str">
        <f>CONCATENATE("          ", "5018", " - ", "PURCHASES @ COST-STUDY GUIDES")</f>
        <v xml:space="preserve">          5018 - PURCHASES @ COST-STUDY GUIDES</v>
      </c>
      <c r="C88" s="11"/>
      <c r="D88" s="2">
        <v>444.87</v>
      </c>
      <c r="E88" s="2"/>
      <c r="F88" s="19">
        <f t="shared" si="9"/>
        <v>2.4191565747936025E-3</v>
      </c>
      <c r="G88" s="2"/>
      <c r="H88" s="2"/>
      <c r="I88" s="2"/>
      <c r="J88" s="19">
        <f t="shared" si="10"/>
        <v>0</v>
      </c>
      <c r="K88" s="2"/>
      <c r="L88" s="2">
        <f t="shared" si="11"/>
        <v>444.87</v>
      </c>
      <c r="M88" s="2"/>
      <c r="N88" s="19">
        <f t="shared" si="12"/>
        <v>0</v>
      </c>
      <c r="O88" s="11"/>
      <c r="P88" s="2">
        <v>967.21</v>
      </c>
      <c r="Q88" s="2"/>
      <c r="R88" s="19">
        <f t="shared" si="13"/>
        <v>2.268223996463782E-4</v>
      </c>
      <c r="S88" s="2"/>
      <c r="T88" s="2"/>
      <c r="U88" s="2"/>
      <c r="V88" s="19">
        <f t="shared" si="14"/>
        <v>0</v>
      </c>
      <c r="W88" s="2"/>
      <c r="X88" s="2">
        <f t="shared" si="15"/>
        <v>967.21</v>
      </c>
      <c r="Y88" s="2"/>
      <c r="Z88" s="19">
        <f t="shared" si="16"/>
        <v>0</v>
      </c>
    </row>
    <row r="89" spans="1:26" s="24" customFormat="1" hidden="1" outlineLevel="1" x14ac:dyDescent="0.25">
      <c r="A89" s="44"/>
      <c r="B89" s="11" t="str">
        <f>CONCATENATE("          ", "5025", " - ", "PURCHASES @ COST-TEST FORMS")</f>
        <v xml:space="preserve">          5025 - PURCHASES @ COST-TEST FORMS</v>
      </c>
      <c r="C89" s="11"/>
      <c r="D89" s="2"/>
      <c r="E89" s="2"/>
      <c r="F89" s="19">
        <f t="shared" si="9"/>
        <v>0</v>
      </c>
      <c r="G89" s="2"/>
      <c r="H89" s="2"/>
      <c r="I89" s="2"/>
      <c r="J89" s="19">
        <f t="shared" si="10"/>
        <v>0</v>
      </c>
      <c r="K89" s="2"/>
      <c r="L89" s="2">
        <f t="shared" si="11"/>
        <v>0</v>
      </c>
      <c r="M89" s="2"/>
      <c r="N89" s="19">
        <f t="shared" si="12"/>
        <v>0</v>
      </c>
      <c r="O89" s="11"/>
      <c r="P89" s="2">
        <v>599.29</v>
      </c>
      <c r="Q89" s="2"/>
      <c r="R89" s="19">
        <f t="shared" si="13"/>
        <v>1.4054072629943651E-4</v>
      </c>
      <c r="S89" s="2"/>
      <c r="T89" s="2"/>
      <c r="U89" s="2"/>
      <c r="V89" s="19">
        <f t="shared" si="14"/>
        <v>0</v>
      </c>
      <c r="W89" s="2"/>
      <c r="X89" s="2">
        <f t="shared" si="15"/>
        <v>599.29</v>
      </c>
      <c r="Y89" s="2"/>
      <c r="Z89" s="19">
        <f t="shared" si="16"/>
        <v>0</v>
      </c>
    </row>
    <row r="90" spans="1:26" s="24" customFormat="1" hidden="1" outlineLevel="1" x14ac:dyDescent="0.25">
      <c r="A90" s="44"/>
      <c r="B90" s="11" t="str">
        <f>CONCATENATE("          ", "5026", " - ", "PURCHASES @ COST-WRITING INSTR")</f>
        <v xml:space="preserve">          5026 - PURCHASES @ COST-WRITING INSTR</v>
      </c>
      <c r="C90" s="11"/>
      <c r="D90" s="2">
        <v>209.64</v>
      </c>
      <c r="E90" s="2"/>
      <c r="F90" s="19">
        <f t="shared" si="9"/>
        <v>1.1400004143676372E-3</v>
      </c>
      <c r="G90" s="2"/>
      <c r="H90" s="2"/>
      <c r="I90" s="2"/>
      <c r="J90" s="19">
        <f t="shared" si="10"/>
        <v>0</v>
      </c>
      <c r="K90" s="2"/>
      <c r="L90" s="2">
        <f t="shared" si="11"/>
        <v>209.64</v>
      </c>
      <c r="M90" s="2"/>
      <c r="N90" s="19">
        <f t="shared" si="12"/>
        <v>0</v>
      </c>
      <c r="O90" s="11"/>
      <c r="P90" s="2">
        <v>584.54999999999995</v>
      </c>
      <c r="Q90" s="2"/>
      <c r="R90" s="19">
        <f t="shared" si="13"/>
        <v>1.3708401868600445E-4</v>
      </c>
      <c r="S90" s="2"/>
      <c r="T90" s="2"/>
      <c r="U90" s="2"/>
      <c r="V90" s="19">
        <f t="shared" si="14"/>
        <v>0</v>
      </c>
      <c r="W90" s="2"/>
      <c r="X90" s="2">
        <f t="shared" si="15"/>
        <v>584.54999999999995</v>
      </c>
      <c r="Y90" s="2"/>
      <c r="Z90" s="19">
        <f t="shared" si="16"/>
        <v>0</v>
      </c>
    </row>
    <row r="91" spans="1:26" s="24" customFormat="1" hidden="1" outlineLevel="1" x14ac:dyDescent="0.25">
      <c r="A91" s="44"/>
      <c r="B91" s="11" t="str">
        <f>CONCATENATE("          ", "5027", " - ", "PURCHASES @ COST-SCHOOL SUPPLI")</f>
        <v xml:space="preserve">          5027 - PURCHASES @ COST-SCHOOL SUPPLI</v>
      </c>
      <c r="C91" s="11"/>
      <c r="D91" s="2">
        <v>2824.53</v>
      </c>
      <c r="E91" s="2"/>
      <c r="F91" s="19">
        <f t="shared" si="9"/>
        <v>1.5359499000161338E-2</v>
      </c>
      <c r="G91" s="2"/>
      <c r="H91" s="2"/>
      <c r="I91" s="2"/>
      <c r="J91" s="19">
        <f t="shared" si="10"/>
        <v>0</v>
      </c>
      <c r="K91" s="2"/>
      <c r="L91" s="2">
        <f t="shared" si="11"/>
        <v>2824.53</v>
      </c>
      <c r="M91" s="2"/>
      <c r="N91" s="19">
        <f t="shared" si="12"/>
        <v>0</v>
      </c>
      <c r="O91" s="11"/>
      <c r="P91" s="2">
        <v>21895.88</v>
      </c>
      <c r="Q91" s="2"/>
      <c r="R91" s="19">
        <f t="shared" si="13"/>
        <v>5.1348477000539069E-3</v>
      </c>
      <c r="S91" s="2"/>
      <c r="T91" s="2"/>
      <c r="U91" s="2"/>
      <c r="V91" s="19">
        <f t="shared" si="14"/>
        <v>0</v>
      </c>
      <c r="W91" s="2"/>
      <c r="X91" s="2">
        <f t="shared" si="15"/>
        <v>21895.88</v>
      </c>
      <c r="Y91" s="2"/>
      <c r="Z91" s="19">
        <f t="shared" si="16"/>
        <v>0</v>
      </c>
    </row>
    <row r="92" spans="1:26" s="24" customFormat="1" hidden="1" outlineLevel="1" x14ac:dyDescent="0.25">
      <c r="A92" s="44"/>
      <c r="B92" s="11" t="str">
        <f>CONCATENATE("          ", "5028", " - ", "PURCHASES @ COST-ART/TECH")</f>
        <v xml:space="preserve">          5028 - PURCHASES @ COST-ART/TECH</v>
      </c>
      <c r="C92" s="11"/>
      <c r="D92" s="2">
        <v>3443.78</v>
      </c>
      <c r="E92" s="2"/>
      <c r="F92" s="19">
        <f t="shared" si="9"/>
        <v>1.8726915793698638E-2</v>
      </c>
      <c r="G92" s="2"/>
      <c r="H92" s="2"/>
      <c r="I92" s="2"/>
      <c r="J92" s="19">
        <f t="shared" si="10"/>
        <v>0</v>
      </c>
      <c r="K92" s="2"/>
      <c r="L92" s="2">
        <f t="shared" si="11"/>
        <v>3443.78</v>
      </c>
      <c r="M92" s="2"/>
      <c r="N92" s="19">
        <f t="shared" si="12"/>
        <v>0</v>
      </c>
      <c r="O92" s="11"/>
      <c r="P92" s="2">
        <v>45635.360000000001</v>
      </c>
      <c r="Q92" s="2"/>
      <c r="R92" s="19">
        <f t="shared" si="13"/>
        <v>1.0702041815041554E-2</v>
      </c>
      <c r="S92" s="2"/>
      <c r="T92" s="2"/>
      <c r="U92" s="2"/>
      <c r="V92" s="19">
        <f t="shared" si="14"/>
        <v>0</v>
      </c>
      <c r="W92" s="2"/>
      <c r="X92" s="2">
        <f t="shared" si="15"/>
        <v>45635.360000000001</v>
      </c>
      <c r="Y92" s="2"/>
      <c r="Z92" s="19">
        <f t="shared" si="16"/>
        <v>0</v>
      </c>
    </row>
    <row r="93" spans="1:26" s="24" customFormat="1" hidden="1" outlineLevel="1" x14ac:dyDescent="0.25">
      <c r="A93" s="44"/>
      <c r="B93" s="11" t="str">
        <f>CONCATENATE("          ", "5031", " - ", "PURCHASES @ COST-FOOD")</f>
        <v xml:space="preserve">          5031 - PURCHASES @ COST-FOOD</v>
      </c>
      <c r="C93" s="11"/>
      <c r="D93" s="2"/>
      <c r="E93" s="2"/>
      <c r="F93" s="19">
        <f t="shared" si="9"/>
        <v>0</v>
      </c>
      <c r="G93" s="2"/>
      <c r="H93" s="2"/>
      <c r="I93" s="2"/>
      <c r="J93" s="19">
        <f t="shared" si="10"/>
        <v>0</v>
      </c>
      <c r="K93" s="2"/>
      <c r="L93" s="2">
        <f t="shared" si="11"/>
        <v>0</v>
      </c>
      <c r="M93" s="2"/>
      <c r="N93" s="19">
        <f t="shared" si="12"/>
        <v>0</v>
      </c>
      <c r="O93" s="11"/>
      <c r="P93" s="2">
        <v>7785.72</v>
      </c>
      <c r="Q93" s="2"/>
      <c r="R93" s="19">
        <f t="shared" si="13"/>
        <v>1.825845156041397E-3</v>
      </c>
      <c r="S93" s="2"/>
      <c r="T93" s="2"/>
      <c r="U93" s="2"/>
      <c r="V93" s="19">
        <f t="shared" si="14"/>
        <v>0</v>
      </c>
      <c r="W93" s="2"/>
      <c r="X93" s="2">
        <f t="shared" si="15"/>
        <v>7785.72</v>
      </c>
      <c r="Y93" s="2"/>
      <c r="Z93" s="19">
        <f t="shared" si="16"/>
        <v>0</v>
      </c>
    </row>
    <row r="94" spans="1:26" s="24" customFormat="1" hidden="1" outlineLevel="1" x14ac:dyDescent="0.25">
      <c r="A94" s="44"/>
      <c r="B94" s="11" t="str">
        <f>CONCATENATE("          ", "5040", " - ", "PURCHASES @ COST-LOGO CLOTHING")</f>
        <v xml:space="preserve">          5040 - PURCHASES @ COST-LOGO CLOTHING</v>
      </c>
      <c r="C94" s="11"/>
      <c r="D94" s="2">
        <v>45900.51</v>
      </c>
      <c r="E94" s="2"/>
      <c r="F94" s="19">
        <f t="shared" si="9"/>
        <v>0.24960217715934879</v>
      </c>
      <c r="G94" s="2"/>
      <c r="H94" s="2"/>
      <c r="I94" s="2"/>
      <c r="J94" s="19">
        <f t="shared" si="10"/>
        <v>0</v>
      </c>
      <c r="K94" s="2"/>
      <c r="L94" s="2">
        <f t="shared" si="11"/>
        <v>45900.51</v>
      </c>
      <c r="M94" s="2"/>
      <c r="N94" s="19">
        <f t="shared" si="12"/>
        <v>0</v>
      </c>
      <c r="O94" s="11"/>
      <c r="P94" s="2">
        <v>239871.6</v>
      </c>
      <c r="Q94" s="2"/>
      <c r="R94" s="19">
        <f t="shared" si="13"/>
        <v>5.6252780594716945E-2</v>
      </c>
      <c r="S94" s="2"/>
      <c r="T94" s="2"/>
      <c r="U94" s="2"/>
      <c r="V94" s="19">
        <f t="shared" si="14"/>
        <v>0</v>
      </c>
      <c r="W94" s="2"/>
      <c r="X94" s="2">
        <f t="shared" si="15"/>
        <v>239871.6</v>
      </c>
      <c r="Y94" s="2"/>
      <c r="Z94" s="19">
        <f t="shared" si="16"/>
        <v>0</v>
      </c>
    </row>
    <row r="95" spans="1:26" s="24" customFormat="1" hidden="1" outlineLevel="1" x14ac:dyDescent="0.25">
      <c r="A95" s="44"/>
      <c r="B95" s="11" t="str">
        <f>CONCATENATE("          ", "5041", " - ", "PURCHASES @ COST-LOGO GIFTS")</f>
        <v xml:space="preserve">          5041 - PURCHASES @ COST-LOGO GIFTS</v>
      </c>
      <c r="C95" s="11"/>
      <c r="D95" s="2">
        <v>899.63</v>
      </c>
      <c r="E95" s="2"/>
      <c r="F95" s="19">
        <f t="shared" si="9"/>
        <v>4.8920939361646511E-3</v>
      </c>
      <c r="G95" s="2"/>
      <c r="H95" s="2"/>
      <c r="I95" s="2"/>
      <c r="J95" s="19">
        <f t="shared" si="10"/>
        <v>0</v>
      </c>
      <c r="K95" s="2"/>
      <c r="L95" s="2">
        <f t="shared" si="11"/>
        <v>899.63</v>
      </c>
      <c r="M95" s="2"/>
      <c r="N95" s="19">
        <f t="shared" si="12"/>
        <v>0</v>
      </c>
      <c r="O95" s="11"/>
      <c r="P95" s="2">
        <v>68463.44</v>
      </c>
      <c r="Q95" s="2"/>
      <c r="R95" s="19">
        <f t="shared" si="13"/>
        <v>1.6055501647879816E-2</v>
      </c>
      <c r="S95" s="2"/>
      <c r="T95" s="2"/>
      <c r="U95" s="2"/>
      <c r="V95" s="19">
        <f t="shared" si="14"/>
        <v>0</v>
      </c>
      <c r="W95" s="2"/>
      <c r="X95" s="2">
        <f t="shared" si="15"/>
        <v>68463.44</v>
      </c>
      <c r="Y95" s="2"/>
      <c r="Z95" s="19">
        <f t="shared" si="16"/>
        <v>0</v>
      </c>
    </row>
    <row r="96" spans="1:26" s="24" customFormat="1" hidden="1" outlineLevel="1" x14ac:dyDescent="0.25">
      <c r="A96" s="44"/>
      <c r="B96" s="11" t="str">
        <f>CONCATENATE("          ", "5042", " - ", "PURCHASES @ COST-EVERYDAY GIFT")</f>
        <v xml:space="preserve">          5042 - PURCHASES @ COST-EVERYDAY GIFT</v>
      </c>
      <c r="C96" s="11"/>
      <c r="D96" s="2">
        <v>-270</v>
      </c>
      <c r="E96" s="2"/>
      <c r="F96" s="19">
        <f t="shared" si="9"/>
        <v>-1.4682317872508207E-3</v>
      </c>
      <c r="G96" s="2"/>
      <c r="H96" s="2"/>
      <c r="I96" s="2"/>
      <c r="J96" s="19">
        <f t="shared" si="10"/>
        <v>0</v>
      </c>
      <c r="K96" s="2"/>
      <c r="L96" s="2">
        <f t="shared" si="11"/>
        <v>-270</v>
      </c>
      <c r="M96" s="2"/>
      <c r="N96" s="19">
        <f t="shared" si="12"/>
        <v>0</v>
      </c>
      <c r="O96" s="11"/>
      <c r="P96" s="2">
        <v>18748.18</v>
      </c>
      <c r="Q96" s="2"/>
      <c r="R96" s="19">
        <f t="shared" si="13"/>
        <v>4.3966741210308361E-3</v>
      </c>
      <c r="S96" s="2"/>
      <c r="T96" s="2"/>
      <c r="U96" s="2"/>
      <c r="V96" s="19">
        <f t="shared" si="14"/>
        <v>0</v>
      </c>
      <c r="W96" s="2"/>
      <c r="X96" s="2">
        <f t="shared" si="15"/>
        <v>18748.18</v>
      </c>
      <c r="Y96" s="2"/>
      <c r="Z96" s="19">
        <f t="shared" si="16"/>
        <v>0</v>
      </c>
    </row>
    <row r="97" spans="1:26" s="24" customFormat="1" hidden="1" outlineLevel="1" x14ac:dyDescent="0.25">
      <c r="A97" s="44"/>
      <c r="B97" s="11" t="str">
        <f>CONCATENATE("          ", "5043", " - ", "PURCHASES @ COST-CARDS")</f>
        <v xml:space="preserve">          5043 - PURCHASES @ COST-CARDS</v>
      </c>
      <c r="C97" s="11"/>
      <c r="D97" s="2"/>
      <c r="E97" s="2"/>
      <c r="F97" s="19">
        <f t="shared" si="9"/>
        <v>0</v>
      </c>
      <c r="G97" s="2"/>
      <c r="H97" s="2"/>
      <c r="I97" s="2"/>
      <c r="J97" s="19">
        <f t="shared" si="10"/>
        <v>0</v>
      </c>
      <c r="K97" s="2"/>
      <c r="L97" s="2">
        <f t="shared" si="11"/>
        <v>0</v>
      </c>
      <c r="M97" s="2"/>
      <c r="N97" s="19">
        <f t="shared" si="12"/>
        <v>0</v>
      </c>
      <c r="O97" s="11"/>
      <c r="P97" s="2">
        <v>55364.33</v>
      </c>
      <c r="Q97" s="2"/>
      <c r="R97" s="19">
        <f t="shared" si="13"/>
        <v>1.2983602511775071E-2</v>
      </c>
      <c r="S97" s="2"/>
      <c r="T97" s="2"/>
      <c r="U97" s="2"/>
      <c r="V97" s="19">
        <f t="shared" si="14"/>
        <v>0</v>
      </c>
      <c r="W97" s="2"/>
      <c r="X97" s="2">
        <f t="shared" si="15"/>
        <v>55364.33</v>
      </c>
      <c r="Y97" s="2"/>
      <c r="Z97" s="19">
        <f t="shared" si="16"/>
        <v>0</v>
      </c>
    </row>
    <row r="98" spans="1:26" s="24" customFormat="1" hidden="1" outlineLevel="1" x14ac:dyDescent="0.25">
      <c r="A98" s="44"/>
      <c r="B98" s="11" t="str">
        <f>CONCATENATE("          ", "5044", " - ", "PURCHASES @ COST-ACCESSORIES")</f>
        <v xml:space="preserve">          5044 - PURCHASES @ COST-ACCESSORIES</v>
      </c>
      <c r="C98" s="11"/>
      <c r="D98" s="2"/>
      <c r="E98" s="2"/>
      <c r="F98" s="19">
        <f t="shared" si="9"/>
        <v>0</v>
      </c>
      <c r="G98" s="2"/>
      <c r="H98" s="2"/>
      <c r="I98" s="2"/>
      <c r="J98" s="19">
        <f t="shared" si="10"/>
        <v>0</v>
      </c>
      <c r="K98" s="2"/>
      <c r="L98" s="2">
        <f t="shared" si="11"/>
        <v>0</v>
      </c>
      <c r="M98" s="2"/>
      <c r="N98" s="19">
        <f t="shared" si="12"/>
        <v>0</v>
      </c>
      <c r="O98" s="11"/>
      <c r="P98" s="2">
        <v>1064.83</v>
      </c>
      <c r="Q98" s="2"/>
      <c r="R98" s="19">
        <f t="shared" si="13"/>
        <v>2.4971546594374839E-4</v>
      </c>
      <c r="S98" s="2"/>
      <c r="T98" s="2"/>
      <c r="U98" s="2"/>
      <c r="V98" s="19">
        <f t="shared" si="14"/>
        <v>0</v>
      </c>
      <c r="W98" s="2"/>
      <c r="X98" s="2">
        <f t="shared" si="15"/>
        <v>1064.83</v>
      </c>
      <c r="Y98" s="2"/>
      <c r="Z98" s="19">
        <f t="shared" si="16"/>
        <v>0</v>
      </c>
    </row>
    <row r="99" spans="1:26" s="24" customFormat="1" hidden="1" outlineLevel="1" x14ac:dyDescent="0.25">
      <c r="A99" s="44"/>
      <c r="B99" s="11" t="str">
        <f>CONCATENATE("          ", "5045", " - ", "PURCHASES @ COST-SPECIAL ORDER")</f>
        <v xml:space="preserve">          5045 - PURCHASES @ COST-SPECIAL ORDER</v>
      </c>
      <c r="C99" s="11"/>
      <c r="D99" s="2">
        <v>13853.18</v>
      </c>
      <c r="E99" s="2"/>
      <c r="F99" s="19">
        <f t="shared" si="9"/>
        <v>7.5332145298175279E-2</v>
      </c>
      <c r="G99" s="2"/>
      <c r="H99" s="2"/>
      <c r="I99" s="2"/>
      <c r="J99" s="19">
        <f t="shared" si="10"/>
        <v>0</v>
      </c>
      <c r="K99" s="2"/>
      <c r="L99" s="2">
        <f t="shared" si="11"/>
        <v>13853.18</v>
      </c>
      <c r="M99" s="2"/>
      <c r="N99" s="19">
        <f t="shared" si="12"/>
        <v>0</v>
      </c>
      <c r="O99" s="11"/>
      <c r="P99" s="2">
        <v>109226.69</v>
      </c>
      <c r="Q99" s="2"/>
      <c r="R99" s="19">
        <f t="shared" si="13"/>
        <v>2.5614974960175205E-2</v>
      </c>
      <c r="S99" s="2"/>
      <c r="T99" s="2"/>
      <c r="U99" s="2"/>
      <c r="V99" s="19">
        <f t="shared" si="14"/>
        <v>0</v>
      </c>
      <c r="W99" s="2"/>
      <c r="X99" s="2">
        <f t="shared" si="15"/>
        <v>109226.69</v>
      </c>
      <c r="Y99" s="2"/>
      <c r="Z99" s="19">
        <f t="shared" si="16"/>
        <v>0</v>
      </c>
    </row>
    <row r="100" spans="1:26" s="24" customFormat="1" hidden="1" outlineLevel="1" x14ac:dyDescent="0.25">
      <c r="A100" s="44"/>
      <c r="B100" s="11" t="str">
        <f>CONCATENATE("          ", "5086", " - ", "PURCHASES @ COST-COMPUTER SUPP")</f>
        <v xml:space="preserve">          5086 - PURCHASES @ COST-COMPUTER SUPP</v>
      </c>
      <c r="C100" s="11"/>
      <c r="D100" s="2"/>
      <c r="E100" s="2"/>
      <c r="F100" s="19">
        <f t="shared" si="9"/>
        <v>0</v>
      </c>
      <c r="G100" s="2"/>
      <c r="H100" s="2"/>
      <c r="I100" s="2"/>
      <c r="J100" s="19">
        <f t="shared" si="10"/>
        <v>0</v>
      </c>
      <c r="K100" s="2"/>
      <c r="L100" s="2">
        <f t="shared" si="11"/>
        <v>0</v>
      </c>
      <c r="M100" s="2"/>
      <c r="N100" s="19">
        <f t="shared" si="12"/>
        <v>0</v>
      </c>
      <c r="O100" s="11"/>
      <c r="P100" s="2">
        <v>13.21</v>
      </c>
      <c r="Q100" s="2"/>
      <c r="R100" s="19">
        <f t="shared" si="13"/>
        <v>3.097904177302402E-6</v>
      </c>
      <c r="S100" s="2"/>
      <c r="T100" s="2"/>
      <c r="U100" s="2"/>
      <c r="V100" s="19">
        <f t="shared" si="14"/>
        <v>0</v>
      </c>
      <c r="W100" s="2"/>
      <c r="X100" s="2">
        <f t="shared" si="15"/>
        <v>13.21</v>
      </c>
      <c r="Y100" s="2"/>
      <c r="Z100" s="19">
        <f t="shared" si="16"/>
        <v>0</v>
      </c>
    </row>
    <row r="101" spans="1:26" s="24" customFormat="1" hidden="1" outlineLevel="1" x14ac:dyDescent="0.25">
      <c r="A101" s="44"/>
      <c r="B101" s="11" t="str">
        <f>CONCATENATE("          ", "5092", " - ", "PURCHASES @ COST-GRAD MERCH")</f>
        <v xml:space="preserve">          5092 - PURCHASES @ COST-GRAD MERCH</v>
      </c>
      <c r="C101" s="11"/>
      <c r="D101" s="2"/>
      <c r="E101" s="2"/>
      <c r="F101" s="19">
        <f t="shared" si="9"/>
        <v>0</v>
      </c>
      <c r="G101" s="2"/>
      <c r="H101" s="2"/>
      <c r="I101" s="2"/>
      <c r="J101" s="19">
        <f t="shared" si="10"/>
        <v>0</v>
      </c>
      <c r="K101" s="2"/>
      <c r="L101" s="2">
        <f t="shared" si="11"/>
        <v>0</v>
      </c>
      <c r="M101" s="2"/>
      <c r="N101" s="19">
        <f t="shared" si="12"/>
        <v>0</v>
      </c>
      <c r="O101" s="11"/>
      <c r="P101" s="2">
        <v>0</v>
      </c>
      <c r="Q101" s="2"/>
      <c r="R101" s="19">
        <f t="shared" si="13"/>
        <v>0</v>
      </c>
      <c r="S101" s="2"/>
      <c r="T101" s="2"/>
      <c r="U101" s="2"/>
      <c r="V101" s="19">
        <f t="shared" si="14"/>
        <v>0</v>
      </c>
      <c r="W101" s="2"/>
      <c r="X101" s="2">
        <f t="shared" si="15"/>
        <v>0</v>
      </c>
      <c r="Y101" s="2"/>
      <c r="Z101" s="19">
        <f t="shared" si="16"/>
        <v>0</v>
      </c>
    </row>
    <row r="102" spans="1:26" s="24" customFormat="1" hidden="1" outlineLevel="1" x14ac:dyDescent="0.25">
      <c r="A102" s="44"/>
      <c r="B102" s="11" t="str">
        <f>CONCATENATE("          ", "5200", " - ", "PURCHASES OFFSET")</f>
        <v xml:space="preserve">          5200 - PURCHASES OFFSET</v>
      </c>
      <c r="C102" s="11"/>
      <c r="D102" s="2">
        <v>217068.52</v>
      </c>
      <c r="E102" s="2"/>
      <c r="F102" s="19">
        <f t="shared" si="9"/>
        <v>1.1803959299092242</v>
      </c>
      <c r="G102" s="2"/>
      <c r="H102" s="2"/>
      <c r="I102" s="2"/>
      <c r="J102" s="19">
        <f t="shared" si="10"/>
        <v>0</v>
      </c>
      <c r="K102" s="2"/>
      <c r="L102" s="2">
        <f t="shared" si="11"/>
        <v>217068.52</v>
      </c>
      <c r="M102" s="2"/>
      <c r="N102" s="19">
        <f t="shared" si="12"/>
        <v>0</v>
      </c>
      <c r="O102" s="11"/>
      <c r="P102" s="2">
        <v>-1763948.92</v>
      </c>
      <c r="Q102" s="2"/>
      <c r="R102" s="19">
        <f t="shared" si="13"/>
        <v>-0.41366727689750643</v>
      </c>
      <c r="S102" s="2"/>
      <c r="T102" s="2"/>
      <c r="U102" s="2"/>
      <c r="V102" s="19">
        <f t="shared" si="14"/>
        <v>0</v>
      </c>
      <c r="W102" s="2"/>
      <c r="X102" s="2">
        <f t="shared" si="15"/>
        <v>-1763948.92</v>
      </c>
      <c r="Y102" s="2"/>
      <c r="Z102" s="19">
        <f t="shared" si="16"/>
        <v>0</v>
      </c>
    </row>
    <row r="103" spans="1:26" s="24" customFormat="1" hidden="1" outlineLevel="1" x14ac:dyDescent="0.25">
      <c r="A103" s="44"/>
      <c r="B103" s="11" t="str">
        <f>CONCATENATE("          ", "5300", " - ", "COG$ OFFSET")</f>
        <v xml:space="preserve">          5300 - COG$ OFFSET</v>
      </c>
      <c r="C103" s="11"/>
      <c r="D103" s="2">
        <v>97595</v>
      </c>
      <c r="E103" s="2"/>
      <c r="F103" s="19">
        <f t="shared" si="9"/>
        <v>0.5307114121360883</v>
      </c>
      <c r="G103" s="2"/>
      <c r="H103" s="2"/>
      <c r="I103" s="2"/>
      <c r="J103" s="19">
        <f t="shared" si="10"/>
        <v>0</v>
      </c>
      <c r="K103" s="2"/>
      <c r="L103" s="2">
        <f t="shared" si="11"/>
        <v>97595</v>
      </c>
      <c r="M103" s="2"/>
      <c r="N103" s="19">
        <f t="shared" si="12"/>
        <v>0</v>
      </c>
      <c r="O103" s="11"/>
      <c r="P103" s="2">
        <v>2177508</v>
      </c>
      <c r="Q103" s="2"/>
      <c r="R103" s="19">
        <f t="shared" si="13"/>
        <v>0.51065186444431476</v>
      </c>
      <c r="S103" s="2"/>
      <c r="T103" s="2"/>
      <c r="U103" s="2"/>
      <c r="V103" s="19">
        <f t="shared" si="14"/>
        <v>0</v>
      </c>
      <c r="W103" s="2"/>
      <c r="X103" s="2">
        <f t="shared" si="15"/>
        <v>2177508</v>
      </c>
      <c r="Y103" s="2"/>
      <c r="Z103" s="19">
        <f t="shared" si="16"/>
        <v>0</v>
      </c>
    </row>
    <row r="104" spans="1:26" s="24" customFormat="1" hidden="1" outlineLevel="1" x14ac:dyDescent="0.25">
      <c r="A104" s="44"/>
      <c r="B104" s="11" t="str">
        <f>CONCATENATE("          ", "5500", " - ", "FREIGHT-IN")</f>
        <v xml:space="preserve">          5500 - FREIGHT-IN</v>
      </c>
      <c r="C104" s="11"/>
      <c r="D104" s="2"/>
      <c r="E104" s="2"/>
      <c r="F104" s="19">
        <f t="shared" si="9"/>
        <v>0</v>
      </c>
      <c r="G104" s="2"/>
      <c r="H104" s="2"/>
      <c r="I104" s="2"/>
      <c r="J104" s="19">
        <f t="shared" si="10"/>
        <v>0</v>
      </c>
      <c r="K104" s="2"/>
      <c r="L104" s="2">
        <f t="shared" si="11"/>
        <v>0</v>
      </c>
      <c r="M104" s="2"/>
      <c r="N104" s="19">
        <f t="shared" si="12"/>
        <v>0</v>
      </c>
      <c r="O104" s="11"/>
      <c r="P104" s="2">
        <v>0</v>
      </c>
      <c r="Q104" s="2"/>
      <c r="R104" s="19">
        <f t="shared" si="13"/>
        <v>0</v>
      </c>
      <c r="S104" s="2"/>
      <c r="T104" s="2"/>
      <c r="U104" s="2"/>
      <c r="V104" s="19">
        <f t="shared" si="14"/>
        <v>0</v>
      </c>
      <c r="W104" s="2"/>
      <c r="X104" s="2">
        <f t="shared" si="15"/>
        <v>0</v>
      </c>
      <c r="Y104" s="2"/>
      <c r="Z104" s="19">
        <f t="shared" si="16"/>
        <v>0</v>
      </c>
    </row>
    <row r="105" spans="1:26" s="24" customFormat="1" hidden="1" outlineLevel="1" x14ac:dyDescent="0.25">
      <c r="A105" s="44"/>
      <c r="B105" s="11" t="str">
        <f>CONCATENATE("          ", "5501", " - ", "FREIGHT-IN-NEW TEXT")</f>
        <v xml:space="preserve">          5501 - FREIGHT-IN-NEW TEXT</v>
      </c>
      <c r="C105" s="11"/>
      <c r="D105" s="2">
        <v>785.54</v>
      </c>
      <c r="E105" s="2"/>
      <c r="F105" s="19">
        <f t="shared" si="9"/>
        <v>4.2716844376185547E-3</v>
      </c>
      <c r="G105" s="2"/>
      <c r="H105" s="2"/>
      <c r="I105" s="2"/>
      <c r="J105" s="19">
        <f t="shared" si="10"/>
        <v>0</v>
      </c>
      <c r="K105" s="2"/>
      <c r="L105" s="2">
        <f t="shared" si="11"/>
        <v>785.54</v>
      </c>
      <c r="M105" s="2"/>
      <c r="N105" s="19">
        <f t="shared" si="12"/>
        <v>0</v>
      </c>
      <c r="O105" s="11"/>
      <c r="P105" s="2">
        <v>50042.46</v>
      </c>
      <c r="Q105" s="2"/>
      <c r="R105" s="19">
        <f t="shared" si="13"/>
        <v>1.1735559869529776E-2</v>
      </c>
      <c r="S105" s="2"/>
      <c r="T105" s="2"/>
      <c r="U105" s="2"/>
      <c r="V105" s="19">
        <f t="shared" si="14"/>
        <v>0</v>
      </c>
      <c r="W105" s="2"/>
      <c r="X105" s="2">
        <f t="shared" si="15"/>
        <v>50042.46</v>
      </c>
      <c r="Y105" s="2"/>
      <c r="Z105" s="19">
        <f t="shared" si="16"/>
        <v>0</v>
      </c>
    </row>
    <row r="106" spans="1:26" s="24" customFormat="1" hidden="1" outlineLevel="1" x14ac:dyDescent="0.25">
      <c r="A106" s="44"/>
      <c r="B106" s="11" t="str">
        <f>CONCATENATE("          ", "5502", " - ", "FREIGHT-IN-USED TEXT")</f>
        <v xml:space="preserve">          5502 - FREIGHT-IN-USED TEXT</v>
      </c>
      <c r="C106" s="11"/>
      <c r="D106" s="2">
        <v>663.37</v>
      </c>
      <c r="E106" s="2"/>
      <c r="F106" s="19">
        <f t="shared" si="9"/>
        <v>3.6073367433651E-3</v>
      </c>
      <c r="G106" s="2"/>
      <c r="H106" s="2"/>
      <c r="I106" s="2"/>
      <c r="J106" s="19">
        <f t="shared" si="10"/>
        <v>0</v>
      </c>
      <c r="K106" s="2"/>
      <c r="L106" s="2">
        <f t="shared" si="11"/>
        <v>663.37</v>
      </c>
      <c r="M106" s="2"/>
      <c r="N106" s="19">
        <f t="shared" si="12"/>
        <v>0</v>
      </c>
      <c r="O106" s="11"/>
      <c r="P106" s="2">
        <v>17800.13</v>
      </c>
      <c r="Q106" s="2"/>
      <c r="R106" s="19">
        <f t="shared" si="13"/>
        <v>4.1743449722578202E-3</v>
      </c>
      <c r="S106" s="2"/>
      <c r="T106" s="2"/>
      <c r="U106" s="2"/>
      <c r="V106" s="19">
        <f t="shared" si="14"/>
        <v>0</v>
      </c>
      <c r="W106" s="2"/>
      <c r="X106" s="2">
        <f t="shared" si="15"/>
        <v>17800.13</v>
      </c>
      <c r="Y106" s="2"/>
      <c r="Z106" s="19">
        <f t="shared" si="16"/>
        <v>0</v>
      </c>
    </row>
    <row r="107" spans="1:26" s="24" customFormat="1" hidden="1" outlineLevel="1" x14ac:dyDescent="0.25">
      <c r="A107" s="44"/>
      <c r="B107" s="11" t="str">
        <f>CONCATENATE("          ", "5504", " - ", "FREIGHT-IN-DIGITAL TEXT")</f>
        <v xml:space="preserve">          5504 - FREIGHT-IN-DIGITAL TEXT</v>
      </c>
      <c r="C107" s="11"/>
      <c r="D107" s="2"/>
      <c r="E107" s="2"/>
      <c r="F107" s="19">
        <f t="shared" si="9"/>
        <v>0</v>
      </c>
      <c r="G107" s="2"/>
      <c r="H107" s="2"/>
      <c r="I107" s="2"/>
      <c r="J107" s="19">
        <f t="shared" si="10"/>
        <v>0</v>
      </c>
      <c r="K107" s="2"/>
      <c r="L107" s="2">
        <f t="shared" si="11"/>
        <v>0</v>
      </c>
      <c r="M107" s="2"/>
      <c r="N107" s="19">
        <f t="shared" si="12"/>
        <v>0</v>
      </c>
      <c r="O107" s="11"/>
      <c r="P107" s="2">
        <v>28.92</v>
      </c>
      <c r="Q107" s="2"/>
      <c r="R107" s="19">
        <f t="shared" si="13"/>
        <v>6.7820884789996562E-6</v>
      </c>
      <c r="S107" s="2"/>
      <c r="T107" s="2"/>
      <c r="U107" s="2"/>
      <c r="V107" s="19">
        <f t="shared" si="14"/>
        <v>0</v>
      </c>
      <c r="W107" s="2"/>
      <c r="X107" s="2">
        <f t="shared" si="15"/>
        <v>28.92</v>
      </c>
      <c r="Y107" s="2"/>
      <c r="Z107" s="19">
        <f t="shared" si="16"/>
        <v>0</v>
      </c>
    </row>
    <row r="108" spans="1:26" s="24" customFormat="1" hidden="1" outlineLevel="1" x14ac:dyDescent="0.25">
      <c r="A108" s="44"/>
      <c r="B108" s="11" t="str">
        <f>CONCATENATE("          ", "5513", " - ", "FREIGHT-IN-TRADE BOOKS")</f>
        <v xml:space="preserve">          5513 - FREIGHT-IN-TRADE BOOKS</v>
      </c>
      <c r="C108" s="11"/>
      <c r="D108" s="2">
        <v>51.76</v>
      </c>
      <c r="E108" s="2"/>
      <c r="F108" s="19">
        <f t="shared" si="9"/>
        <v>2.8146547151149066E-4</v>
      </c>
      <c r="G108" s="2"/>
      <c r="H108" s="2"/>
      <c r="I108" s="2"/>
      <c r="J108" s="19">
        <f t="shared" si="10"/>
        <v>0</v>
      </c>
      <c r="K108" s="2"/>
      <c r="L108" s="2">
        <f t="shared" si="11"/>
        <v>51.76</v>
      </c>
      <c r="M108" s="2"/>
      <c r="N108" s="19">
        <f t="shared" si="12"/>
        <v>0</v>
      </c>
      <c r="O108" s="11"/>
      <c r="P108" s="2">
        <v>85.28</v>
      </c>
      <c r="Q108" s="2"/>
      <c r="R108" s="19">
        <f t="shared" si="13"/>
        <v>1.9999187603357216E-5</v>
      </c>
      <c r="S108" s="2"/>
      <c r="T108" s="2"/>
      <c r="U108" s="2"/>
      <c r="V108" s="19">
        <f t="shared" si="14"/>
        <v>0</v>
      </c>
      <c r="W108" s="2"/>
      <c r="X108" s="2">
        <f t="shared" si="15"/>
        <v>85.28</v>
      </c>
      <c r="Y108" s="2"/>
      <c r="Z108" s="19">
        <f t="shared" si="16"/>
        <v>0</v>
      </c>
    </row>
    <row r="109" spans="1:26" s="24" customFormat="1" hidden="1" outlineLevel="1" x14ac:dyDescent="0.25">
      <c r="A109" s="44"/>
      <c r="B109" s="11" t="str">
        <f>CONCATENATE("          ", "5525", " - ", "FREIGHT-IN-TEST FORMS")</f>
        <v xml:space="preserve">          5525 - FREIGHT-IN-TEST FORMS</v>
      </c>
      <c r="C109" s="11"/>
      <c r="D109" s="2"/>
      <c r="E109" s="2"/>
      <c r="F109" s="19">
        <f t="shared" si="9"/>
        <v>0</v>
      </c>
      <c r="G109" s="2"/>
      <c r="H109" s="2"/>
      <c r="I109" s="2"/>
      <c r="J109" s="19">
        <f t="shared" si="10"/>
        <v>0</v>
      </c>
      <c r="K109" s="2"/>
      <c r="L109" s="2">
        <f t="shared" si="11"/>
        <v>0</v>
      </c>
      <c r="M109" s="2"/>
      <c r="N109" s="19">
        <f t="shared" si="12"/>
        <v>0</v>
      </c>
      <c r="O109" s="11"/>
      <c r="P109" s="2">
        <v>48.14</v>
      </c>
      <c r="Q109" s="2"/>
      <c r="R109" s="19">
        <f t="shared" si="13"/>
        <v>1.1289410075347284E-5</v>
      </c>
      <c r="S109" s="2"/>
      <c r="T109" s="2"/>
      <c r="U109" s="2"/>
      <c r="V109" s="19">
        <f t="shared" si="14"/>
        <v>0</v>
      </c>
      <c r="W109" s="2"/>
      <c r="X109" s="2">
        <f t="shared" si="15"/>
        <v>48.14</v>
      </c>
      <c r="Y109" s="2"/>
      <c r="Z109" s="19">
        <f t="shared" si="16"/>
        <v>0</v>
      </c>
    </row>
    <row r="110" spans="1:26" s="24" customFormat="1" hidden="1" outlineLevel="1" x14ac:dyDescent="0.25">
      <c r="A110" s="44"/>
      <c r="B110" s="11" t="str">
        <f>CONCATENATE("          ", "5526", " - ", "FREIGHT-IN-WRITING INSTRUMENTS")</f>
        <v xml:space="preserve">          5526 - FREIGHT-IN-WRITING INSTRUMENTS</v>
      </c>
      <c r="C110" s="11"/>
      <c r="D110" s="2"/>
      <c r="E110" s="2"/>
      <c r="F110" s="19">
        <f t="shared" si="9"/>
        <v>0</v>
      </c>
      <c r="G110" s="2"/>
      <c r="H110" s="2"/>
      <c r="I110" s="2"/>
      <c r="J110" s="19">
        <f t="shared" si="10"/>
        <v>0</v>
      </c>
      <c r="K110" s="2"/>
      <c r="L110" s="2">
        <f t="shared" si="11"/>
        <v>0</v>
      </c>
      <c r="M110" s="2"/>
      <c r="N110" s="19">
        <f t="shared" si="12"/>
        <v>0</v>
      </c>
      <c r="O110" s="11"/>
      <c r="P110" s="2">
        <v>0</v>
      </c>
      <c r="Q110" s="2"/>
      <c r="R110" s="19">
        <f t="shared" si="13"/>
        <v>0</v>
      </c>
      <c r="S110" s="2"/>
      <c r="T110" s="2"/>
      <c r="U110" s="2"/>
      <c r="V110" s="19">
        <f t="shared" si="14"/>
        <v>0</v>
      </c>
      <c r="W110" s="2"/>
      <c r="X110" s="2">
        <f t="shared" si="15"/>
        <v>0</v>
      </c>
      <c r="Y110" s="2"/>
      <c r="Z110" s="19">
        <f t="shared" si="16"/>
        <v>0</v>
      </c>
    </row>
    <row r="111" spans="1:26" s="24" customFormat="1" hidden="1" outlineLevel="1" x14ac:dyDescent="0.25">
      <c r="A111" s="44"/>
      <c r="B111" s="11" t="str">
        <f>CONCATENATE("          ", "5527", " - ", "FREIGHT-IN-SCHOOL SUPPLIES")</f>
        <v xml:space="preserve">          5527 - FREIGHT-IN-SCHOOL SUPPLIES</v>
      </c>
      <c r="C111" s="11"/>
      <c r="D111" s="2">
        <v>41.12</v>
      </c>
      <c r="E111" s="2"/>
      <c r="F111" s="19">
        <f t="shared" si="9"/>
        <v>2.2360626330279165E-4</v>
      </c>
      <c r="G111" s="2"/>
      <c r="H111" s="2"/>
      <c r="I111" s="2"/>
      <c r="J111" s="19">
        <f t="shared" si="10"/>
        <v>0</v>
      </c>
      <c r="K111" s="2"/>
      <c r="L111" s="2">
        <f t="shared" si="11"/>
        <v>41.12</v>
      </c>
      <c r="M111" s="2"/>
      <c r="N111" s="19">
        <f t="shared" si="12"/>
        <v>0</v>
      </c>
      <c r="O111" s="11"/>
      <c r="P111" s="2">
        <v>218.62</v>
      </c>
      <c r="Q111" s="2"/>
      <c r="R111" s="19">
        <f t="shared" si="13"/>
        <v>5.1269024318081077E-5</v>
      </c>
      <c r="S111" s="2"/>
      <c r="T111" s="2"/>
      <c r="U111" s="2"/>
      <c r="V111" s="19">
        <f t="shared" si="14"/>
        <v>0</v>
      </c>
      <c r="W111" s="2"/>
      <c r="X111" s="2">
        <f t="shared" si="15"/>
        <v>218.62</v>
      </c>
      <c r="Y111" s="2"/>
      <c r="Z111" s="19">
        <f t="shared" si="16"/>
        <v>0</v>
      </c>
    </row>
    <row r="112" spans="1:26" s="24" customFormat="1" hidden="1" outlineLevel="1" x14ac:dyDescent="0.25">
      <c r="A112" s="44"/>
      <c r="B112" s="11" t="str">
        <f>CONCATENATE("          ", "5528", " - ", "FREIGHT-IN-ART/TECH")</f>
        <v xml:space="preserve">          5528 - FREIGHT-IN-ART/TECH</v>
      </c>
      <c r="C112" s="11"/>
      <c r="D112" s="2">
        <v>103.71</v>
      </c>
      <c r="E112" s="2"/>
      <c r="F112" s="19">
        <f t="shared" si="9"/>
        <v>5.639641431695652E-4</v>
      </c>
      <c r="G112" s="2"/>
      <c r="H112" s="2"/>
      <c r="I112" s="2"/>
      <c r="J112" s="19">
        <f t="shared" si="10"/>
        <v>0</v>
      </c>
      <c r="K112" s="2"/>
      <c r="L112" s="2">
        <f t="shared" si="11"/>
        <v>103.71</v>
      </c>
      <c r="M112" s="2"/>
      <c r="N112" s="19">
        <f t="shared" si="12"/>
        <v>0</v>
      </c>
      <c r="O112" s="11"/>
      <c r="P112" s="2">
        <v>455.21</v>
      </c>
      <c r="Q112" s="2"/>
      <c r="R112" s="19">
        <f t="shared" si="13"/>
        <v>1.0675223017031236E-4</v>
      </c>
      <c r="S112" s="2"/>
      <c r="T112" s="2"/>
      <c r="U112" s="2"/>
      <c r="V112" s="19">
        <f t="shared" si="14"/>
        <v>0</v>
      </c>
      <c r="W112" s="2"/>
      <c r="X112" s="2">
        <f t="shared" si="15"/>
        <v>455.21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"5540", " - ", "FREIGHT-IN-LOGO CLOTHING")</f>
        <v xml:space="preserve">          5540 - FREIGHT-IN-LOGO CLOTHING</v>
      </c>
      <c r="C113" s="11"/>
      <c r="D113" s="2">
        <v>1167.1400000000001</v>
      </c>
      <c r="E113" s="2"/>
      <c r="F113" s="19">
        <f t="shared" si="9"/>
        <v>6.3467853635997152E-3</v>
      </c>
      <c r="G113" s="2"/>
      <c r="H113" s="2"/>
      <c r="I113" s="2"/>
      <c r="J113" s="19">
        <f t="shared" si="10"/>
        <v>0</v>
      </c>
      <c r="K113" s="2"/>
      <c r="L113" s="2">
        <f t="shared" si="11"/>
        <v>1167.1400000000001</v>
      </c>
      <c r="M113" s="2"/>
      <c r="N113" s="19">
        <f t="shared" si="12"/>
        <v>0</v>
      </c>
      <c r="O113" s="11"/>
      <c r="P113" s="2">
        <v>7108.37</v>
      </c>
      <c r="Q113" s="2"/>
      <c r="R113" s="19">
        <f t="shared" si="13"/>
        <v>1.6669984191378555E-3</v>
      </c>
      <c r="S113" s="2"/>
      <c r="T113" s="2"/>
      <c r="U113" s="2"/>
      <c r="V113" s="19">
        <f t="shared" si="14"/>
        <v>0</v>
      </c>
      <c r="W113" s="2"/>
      <c r="X113" s="2">
        <f t="shared" si="15"/>
        <v>7108.37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"5541", " - ", "FREIGHT-IN-LOGO GIFTS")</f>
        <v xml:space="preserve">          5541 - FREIGHT-IN-LOGO GIFTS</v>
      </c>
      <c r="C114" s="11"/>
      <c r="D114" s="2">
        <v>60.07</v>
      </c>
      <c r="E114" s="2"/>
      <c r="F114" s="19">
        <f t="shared" si="9"/>
        <v>3.2665438318576595E-4</v>
      </c>
      <c r="G114" s="2"/>
      <c r="H114" s="2"/>
      <c r="I114" s="2"/>
      <c r="J114" s="19">
        <f t="shared" si="10"/>
        <v>0</v>
      </c>
      <c r="K114" s="2"/>
      <c r="L114" s="2">
        <f t="shared" si="11"/>
        <v>60.07</v>
      </c>
      <c r="M114" s="2"/>
      <c r="N114" s="19">
        <f t="shared" si="12"/>
        <v>0</v>
      </c>
      <c r="O114" s="11"/>
      <c r="P114" s="2">
        <v>2138</v>
      </c>
      <c r="Q114" s="2"/>
      <c r="R114" s="19">
        <f t="shared" si="13"/>
        <v>5.0138676238247804E-4</v>
      </c>
      <c r="S114" s="2"/>
      <c r="T114" s="2"/>
      <c r="U114" s="2"/>
      <c r="V114" s="19">
        <f t="shared" si="14"/>
        <v>0</v>
      </c>
      <c r="W114" s="2"/>
      <c r="X114" s="2">
        <f t="shared" si="15"/>
        <v>2138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"5542", " - ", "FREIGHT-IN-EVERYDAY GIFTS")</f>
        <v xml:space="preserve">          5542 - FREIGHT-IN-EVERYDAY GIFTS</v>
      </c>
      <c r="C115" s="11"/>
      <c r="D115" s="2">
        <v>297.79000000000002</v>
      </c>
      <c r="E115" s="2"/>
      <c r="F115" s="19">
        <f t="shared" si="9"/>
        <v>1.6193509034274887E-3</v>
      </c>
      <c r="G115" s="2"/>
      <c r="H115" s="2"/>
      <c r="I115" s="2"/>
      <c r="J115" s="19">
        <f t="shared" si="10"/>
        <v>0</v>
      </c>
      <c r="K115" s="2"/>
      <c r="L115" s="2">
        <f t="shared" si="11"/>
        <v>297.79000000000002</v>
      </c>
      <c r="M115" s="2"/>
      <c r="N115" s="19">
        <f t="shared" si="12"/>
        <v>0</v>
      </c>
      <c r="O115" s="11"/>
      <c r="P115" s="2">
        <v>681.72</v>
      </c>
      <c r="Q115" s="2"/>
      <c r="R115" s="19">
        <f t="shared" si="13"/>
        <v>1.598715545609836E-4</v>
      </c>
      <c r="S115" s="2"/>
      <c r="T115" s="2"/>
      <c r="U115" s="2"/>
      <c r="V115" s="19">
        <f t="shared" si="14"/>
        <v>0</v>
      </c>
      <c r="W115" s="2"/>
      <c r="X115" s="2">
        <f t="shared" si="15"/>
        <v>681.72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"5543", " - ", "FREIGHT-IN-CARDS")</f>
        <v xml:space="preserve">          5543 - FREIGHT-IN-CARDS</v>
      </c>
      <c r="C116" s="11"/>
      <c r="D116" s="2"/>
      <c r="E116" s="2"/>
      <c r="F116" s="19">
        <f t="shared" si="9"/>
        <v>0</v>
      </c>
      <c r="G116" s="2"/>
      <c r="H116" s="2"/>
      <c r="I116" s="2"/>
      <c r="J116" s="19">
        <f t="shared" si="10"/>
        <v>0</v>
      </c>
      <c r="K116" s="2"/>
      <c r="L116" s="2">
        <f t="shared" si="11"/>
        <v>0</v>
      </c>
      <c r="M116" s="2"/>
      <c r="N116" s="19">
        <f t="shared" si="12"/>
        <v>0</v>
      </c>
      <c r="O116" s="11"/>
      <c r="P116" s="2">
        <v>9110.5300000000007</v>
      </c>
      <c r="Q116" s="2"/>
      <c r="R116" s="19">
        <f t="shared" si="13"/>
        <v>2.1365290646812151E-3</v>
      </c>
      <c r="S116" s="2"/>
      <c r="T116" s="2"/>
      <c r="U116" s="2"/>
      <c r="V116" s="19">
        <f t="shared" si="14"/>
        <v>0</v>
      </c>
      <c r="W116" s="2"/>
      <c r="X116" s="2">
        <f t="shared" si="15"/>
        <v>9110.5300000000007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"5545", " - ", "FREIGHT-IN-SPECIAL ORDERS")</f>
        <v xml:space="preserve">          5545 - FREIGHT-IN-SPECIAL ORDERS</v>
      </c>
      <c r="C117" s="11"/>
      <c r="D117" s="2">
        <v>17.63</v>
      </c>
      <c r="E117" s="2"/>
      <c r="F117" s="19">
        <f t="shared" si="9"/>
        <v>9.5870097811970249E-5</v>
      </c>
      <c r="G117" s="2"/>
      <c r="H117" s="2"/>
      <c r="I117" s="2"/>
      <c r="J117" s="19">
        <f t="shared" si="10"/>
        <v>0</v>
      </c>
      <c r="K117" s="2"/>
      <c r="L117" s="2">
        <f t="shared" si="11"/>
        <v>17.63</v>
      </c>
      <c r="M117" s="2"/>
      <c r="N117" s="19">
        <f t="shared" si="12"/>
        <v>0</v>
      </c>
      <c r="O117" s="11"/>
      <c r="P117" s="2">
        <v>1266.1600000000001</v>
      </c>
      <c r="Q117" s="2"/>
      <c r="R117" s="19">
        <f t="shared" si="13"/>
        <v>2.9692977692151473E-4</v>
      </c>
      <c r="S117" s="2"/>
      <c r="T117" s="2"/>
      <c r="U117" s="2"/>
      <c r="V117" s="19">
        <f t="shared" si="14"/>
        <v>0</v>
      </c>
      <c r="W117" s="2"/>
      <c r="X117" s="2">
        <f t="shared" si="15"/>
        <v>1266.1600000000001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"5592", " - ", "FREIGHT-IN-GRAD MERCH")</f>
        <v xml:space="preserve">          5592 - FREIGHT-IN-GRAD MERCH</v>
      </c>
      <c r="C118" s="11"/>
      <c r="D118" s="2"/>
      <c r="E118" s="2"/>
      <c r="F118" s="19">
        <f t="shared" si="9"/>
        <v>0</v>
      </c>
      <c r="G118" s="2"/>
      <c r="H118" s="2"/>
      <c r="I118" s="2"/>
      <c r="J118" s="19">
        <f t="shared" si="10"/>
        <v>0</v>
      </c>
      <c r="K118" s="2"/>
      <c r="L118" s="2">
        <f t="shared" si="11"/>
        <v>0</v>
      </c>
      <c r="M118" s="2"/>
      <c r="N118" s="19">
        <f t="shared" si="12"/>
        <v>0</v>
      </c>
      <c r="O118" s="11"/>
      <c r="P118" s="2">
        <v>0</v>
      </c>
      <c r="Q118" s="2"/>
      <c r="R118" s="19">
        <f t="shared" si="13"/>
        <v>0</v>
      </c>
      <c r="S118" s="2"/>
      <c r="T118" s="2"/>
      <c r="U118" s="2"/>
      <c r="V118" s="19">
        <f t="shared" si="14"/>
        <v>0</v>
      </c>
      <c r="W118" s="2"/>
      <c r="X118" s="2">
        <f t="shared" si="15"/>
        <v>0</v>
      </c>
      <c r="Y118" s="2"/>
      <c r="Z118" s="19">
        <f t="shared" si="16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108</v>
      </c>
      <c r="C120" s="29"/>
      <c r="D120" s="20">
        <f>D12-D79</f>
        <v>85445.820000000022</v>
      </c>
      <c r="E120" s="14"/>
      <c r="F120" s="21">
        <f>IF(D$12=0,0,D120/D$12)</f>
        <v>0.46464544078411835</v>
      </c>
      <c r="G120" s="14"/>
      <c r="H120" s="20">
        <f>H12-H79</f>
        <v>228050</v>
      </c>
      <c r="I120" s="14"/>
      <c r="J120" s="21">
        <f>IF(H$12=0,0,H120/H$12)</f>
        <v>0.55329246013164501</v>
      </c>
      <c r="K120" s="16"/>
      <c r="L120" s="20">
        <f>+D120-H120</f>
        <v>-142604.18</v>
      </c>
      <c r="M120" s="16"/>
      <c r="N120" s="21">
        <f>IF(H120=0,0,L120/H120)</f>
        <v>-0.62531979828984874</v>
      </c>
      <c r="O120" s="28"/>
      <c r="P120" s="20">
        <f>P12-P79</f>
        <v>1543197.4500000025</v>
      </c>
      <c r="Q120" s="14"/>
      <c r="R120" s="21">
        <f>IF(P$12=0,0,P120/P$12)</f>
        <v>0.36189839718072836</v>
      </c>
      <c r="S120" s="14"/>
      <c r="T120" s="20">
        <f>T12-T79</f>
        <v>3138124</v>
      </c>
      <c r="U120" s="14"/>
      <c r="V120" s="21">
        <f>IF(T$12=0,0,T120/T$12)</f>
        <v>0.40654825153589624</v>
      </c>
      <c r="W120" s="16"/>
      <c r="X120" s="20">
        <f>+P120-T120</f>
        <v>-1594926.5499999975</v>
      </c>
      <c r="Y120" s="16"/>
      <c r="Z120" s="21">
        <f>IF(T120=0,0,X120/T120)</f>
        <v>-0.50824204206079726</v>
      </c>
    </row>
    <row r="121" spans="1:26" x14ac:dyDescent="0.25">
      <c r="A121" s="9"/>
      <c r="B121" s="10"/>
      <c r="C121" s="9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8" t="s">
        <v>295</v>
      </c>
      <c r="C122" s="10"/>
      <c r="D122" s="22">
        <f>SUM(OSRRefD22x_0)</f>
        <v>226680.25999999989</v>
      </c>
      <c r="E122" s="22"/>
      <c r="F122" s="32">
        <f t="shared" ref="F122:F133" si="17">IF(D$12=0,0,D122/D$12)</f>
        <v>1.2326635676825206</v>
      </c>
      <c r="G122" s="22"/>
      <c r="H122" s="22">
        <f>SUM(OSRRefH22x_0)</f>
        <v>321776.90191922849</v>
      </c>
      <c r="I122" s="22"/>
      <c r="J122" s="32">
        <f t="shared" ref="J122:J133" si="18">IF(H$12=0,0,H122/H$12)</f>
        <v>0.7806916626898881</v>
      </c>
      <c r="K122" s="4"/>
      <c r="L122" s="22">
        <f t="shared" ref="L122:L133" si="19">+D122-H122</f>
        <v>-95096.641919228598</v>
      </c>
      <c r="M122" s="4"/>
      <c r="N122" s="32">
        <f t="shared" ref="N122:N133" si="20">IF(H122=0,0,L122/H122)</f>
        <v>-0.29553594851596737</v>
      </c>
      <c r="O122" s="10"/>
      <c r="P122" s="22">
        <f>SUM(OSRRefP22x_0)</f>
        <v>2382755.040000001</v>
      </c>
      <c r="Q122" s="22"/>
      <c r="R122" s="32">
        <f t="shared" ref="R122:R133" si="21">IF(P$12=0,0,P122/P$12)</f>
        <v>0.55878476850146508</v>
      </c>
      <c r="S122" s="22"/>
      <c r="T122" s="22">
        <f>SUM(OSRRefT22x_0)</f>
        <v>3357294.9826831799</v>
      </c>
      <c r="U122" s="22"/>
      <c r="V122" s="32">
        <f t="shared" ref="V122:V133" si="22">IF(T$12=0,0,T122/T$12)</f>
        <v>0.43494215177605594</v>
      </c>
      <c r="W122" s="4"/>
      <c r="X122" s="22">
        <f t="shared" ref="X122:X133" si="23">+P122-T122</f>
        <v>-974539.94268317893</v>
      </c>
      <c r="Y122" s="4"/>
      <c r="Z122" s="32">
        <f t="shared" ref="Z122:Z133" si="24">IF(T122=0,0,X122/T122)</f>
        <v>-0.29027534003113364</v>
      </c>
    </row>
    <row r="123" spans="1:26" s="25" customFormat="1" outlineLevel="1" collapsed="1" x14ac:dyDescent="0.25">
      <c r="A123" s="27"/>
      <c r="B123" s="13" t="str">
        <f>CONCATENATE("     ","*Benefits                                         ")</f>
        <v xml:space="preserve">     *Benefits                                         </v>
      </c>
      <c r="C123" s="13"/>
      <c r="D123" s="1">
        <f>SUM(OSRRefD22_0x_0)</f>
        <v>45623.819999999992</v>
      </c>
      <c r="E123" s="1"/>
      <c r="F123" s="5">
        <f t="shared" si="17"/>
        <v>0.24809756585114714</v>
      </c>
      <c r="G123" s="1"/>
      <c r="H123" s="1">
        <f>SUM(OSRRefH22_0x_0)</f>
        <v>41401.688975536155</v>
      </c>
      <c r="I123" s="1"/>
      <c r="J123" s="5">
        <f t="shared" si="18"/>
        <v>0.10044833302731684</v>
      </c>
      <c r="K123" s="1"/>
      <c r="L123" s="1">
        <f t="shared" si="19"/>
        <v>4222.1310244638371</v>
      </c>
      <c r="M123" s="1"/>
      <c r="N123" s="5">
        <f t="shared" si="20"/>
        <v>0.10197968075550377</v>
      </c>
      <c r="O123" s="13"/>
      <c r="P123" s="1">
        <f>SUM(OSRRefP22_0x_0)</f>
        <v>410253.50999999995</v>
      </c>
      <c r="Q123" s="1"/>
      <c r="R123" s="5">
        <f t="shared" si="21"/>
        <v>9.6209391550489964E-2</v>
      </c>
      <c r="S123" s="1"/>
      <c r="T123" s="1">
        <f>SUM(OSRRefT22_0x_0)</f>
        <v>406448.56190717994</v>
      </c>
      <c r="U123" s="1"/>
      <c r="V123" s="5">
        <f t="shared" si="22"/>
        <v>5.2655966489100967E-2</v>
      </c>
      <c r="W123" s="1"/>
      <c r="X123" s="1">
        <f t="shared" si="23"/>
        <v>3804.9480928200064</v>
      </c>
      <c r="Y123" s="1"/>
      <c r="Z123" s="5">
        <f t="shared" si="24"/>
        <v>9.3614504993351083E-3</v>
      </c>
    </row>
    <row r="124" spans="1:26" s="24" customFormat="1" hidden="1" outlineLevel="2" x14ac:dyDescent="0.25">
      <c r="A124" s="26"/>
      <c r="B124" s="11" t="str">
        <f>CONCATENATE("          ", "6111", " - ", "F.I.C.A.")</f>
        <v xml:space="preserve">          6111 - F.I.C.A.</v>
      </c>
      <c r="C124" s="11"/>
      <c r="D124" s="7">
        <v>7478.02</v>
      </c>
      <c r="E124" s="2"/>
      <c r="F124" s="6">
        <f t="shared" si="17"/>
        <v>4.0664691369249571E-2</v>
      </c>
      <c r="G124" s="2"/>
      <c r="H124" s="7">
        <v>6468.6461154092303</v>
      </c>
      <c r="I124" s="2"/>
      <c r="J124" s="6">
        <f t="shared" si="18"/>
        <v>1.5694159714605492E-2</v>
      </c>
      <c r="K124" s="2"/>
      <c r="L124" s="7">
        <f t="shared" si="19"/>
        <v>1009.3738845907701</v>
      </c>
      <c r="M124" s="2"/>
      <c r="N124" s="6">
        <f t="shared" si="20"/>
        <v>0.15604098084548151</v>
      </c>
      <c r="O124" s="11"/>
      <c r="P124" s="7">
        <v>78467.86</v>
      </c>
      <c r="Q124" s="2"/>
      <c r="R124" s="6">
        <f t="shared" si="21"/>
        <v>1.8401658688719156E-2</v>
      </c>
      <c r="S124" s="2"/>
      <c r="T124" s="7">
        <v>73827.595484204998</v>
      </c>
      <c r="U124" s="2"/>
      <c r="V124" s="6">
        <f t="shared" si="22"/>
        <v>9.5644658589663662E-3</v>
      </c>
      <c r="W124" s="2"/>
      <c r="X124" s="7">
        <f t="shared" si="23"/>
        <v>4640.2645157950028</v>
      </c>
      <c r="Y124" s="2"/>
      <c r="Z124" s="6">
        <f t="shared" si="24"/>
        <v>6.2852710905202946E-2</v>
      </c>
    </row>
    <row r="125" spans="1:26" s="24" customFormat="1" hidden="1" outlineLevel="2" x14ac:dyDescent="0.25">
      <c r="A125" s="26"/>
      <c r="B125" s="11" t="str">
        <f>CONCATENATE("          ", "6112", " - ", "COMPENSATION INSURANCE")</f>
        <v xml:space="preserve">          6112 - COMPENSATION INSURANCE</v>
      </c>
      <c r="C125" s="11"/>
      <c r="D125" s="7">
        <v>1716.92</v>
      </c>
      <c r="E125" s="2"/>
      <c r="F125" s="6">
        <f t="shared" si="17"/>
        <v>9.3364315561728865E-3</v>
      </c>
      <c r="G125" s="2"/>
      <c r="H125" s="7">
        <v>2778.5759809807701</v>
      </c>
      <c r="I125" s="2"/>
      <c r="J125" s="6">
        <f t="shared" si="18"/>
        <v>6.74135119570072E-3</v>
      </c>
      <c r="K125" s="2"/>
      <c r="L125" s="7">
        <f t="shared" si="19"/>
        <v>-1061.65598098077</v>
      </c>
      <c r="M125" s="2"/>
      <c r="N125" s="6">
        <f t="shared" si="20"/>
        <v>-0.38208635943294633</v>
      </c>
      <c r="O125" s="11"/>
      <c r="P125" s="7">
        <v>19978.8</v>
      </c>
      <c r="Q125" s="2"/>
      <c r="R125" s="6">
        <f t="shared" si="21"/>
        <v>4.6852693397039531E-3</v>
      </c>
      <c r="S125" s="2"/>
      <c r="T125" s="7">
        <v>29320.805071625</v>
      </c>
      <c r="U125" s="2"/>
      <c r="V125" s="6">
        <f t="shared" si="22"/>
        <v>3.7985503554015016E-3</v>
      </c>
      <c r="W125" s="2"/>
      <c r="X125" s="7">
        <f t="shared" si="23"/>
        <v>-9342.0050716250007</v>
      </c>
      <c r="Y125" s="2"/>
      <c r="Z125" s="6">
        <f t="shared" si="24"/>
        <v>-0.31861352540642413</v>
      </c>
    </row>
    <row r="126" spans="1:26" s="24" customFormat="1" hidden="1" outlineLevel="2" x14ac:dyDescent="0.25">
      <c r="A126" s="26"/>
      <c r="B126" s="11" t="str">
        <f>CONCATENATE("          ", "6113", " - ", "GROUP INSURANCE")</f>
        <v xml:space="preserve">          6113 - GROUP INSURANCE</v>
      </c>
      <c r="C126" s="11"/>
      <c r="D126" s="7">
        <v>18280.3</v>
      </c>
      <c r="E126" s="2"/>
      <c r="F126" s="6">
        <f t="shared" si="17"/>
        <v>9.9406361261041395E-2</v>
      </c>
      <c r="G126" s="2"/>
      <c r="H126" s="7">
        <v>17287.5</v>
      </c>
      <c r="I126" s="2"/>
      <c r="J126" s="6">
        <f t="shared" si="18"/>
        <v>4.1942746785905781E-2</v>
      </c>
      <c r="K126" s="2"/>
      <c r="L126" s="7">
        <f t="shared" si="19"/>
        <v>992.79999999999927</v>
      </c>
      <c r="M126" s="2"/>
      <c r="N126" s="6">
        <f t="shared" si="20"/>
        <v>5.742877801879967E-2</v>
      </c>
      <c r="O126" s="11"/>
      <c r="P126" s="7">
        <v>146586.09</v>
      </c>
      <c r="Q126" s="2"/>
      <c r="R126" s="6">
        <f t="shared" si="21"/>
        <v>3.4376204431902029E-2</v>
      </c>
      <c r="S126" s="2"/>
      <c r="T126" s="7">
        <v>157927.5</v>
      </c>
      <c r="U126" s="2"/>
      <c r="V126" s="6">
        <f t="shared" si="22"/>
        <v>2.0459723387104924E-2</v>
      </c>
      <c r="W126" s="2"/>
      <c r="X126" s="7">
        <f t="shared" si="23"/>
        <v>-11341.410000000003</v>
      </c>
      <c r="Y126" s="2"/>
      <c r="Z126" s="6">
        <f t="shared" si="24"/>
        <v>-7.1814028589067797E-2</v>
      </c>
    </row>
    <row r="127" spans="1:26" s="24" customFormat="1" hidden="1" outlineLevel="2" x14ac:dyDescent="0.25">
      <c r="A127" s="26"/>
      <c r="B127" s="11" t="str">
        <f>CONCATENATE("          ", "6114", " - ", "STATE UNEMPLOYMENT INSURANCE")</f>
        <v xml:space="preserve">          6114 - STATE UNEMPLOYMENT INSURANCE</v>
      </c>
      <c r="C127" s="11"/>
      <c r="D127" s="7">
        <v>305.79000000000002</v>
      </c>
      <c r="E127" s="2"/>
      <c r="F127" s="6">
        <f t="shared" si="17"/>
        <v>1.6628540674941798E-3</v>
      </c>
      <c r="G127" s="2"/>
      <c r="H127" s="7">
        <v>395.17508229999999</v>
      </c>
      <c r="I127" s="2"/>
      <c r="J127" s="6">
        <f t="shared" si="18"/>
        <v>9.5876953943649324E-4</v>
      </c>
      <c r="K127" s="2"/>
      <c r="L127" s="7">
        <f t="shared" si="19"/>
        <v>-89.385082299999965</v>
      </c>
      <c r="M127" s="2"/>
      <c r="N127" s="6">
        <f t="shared" si="20"/>
        <v>-0.2261910892249594</v>
      </c>
      <c r="O127" s="11"/>
      <c r="P127" s="7">
        <v>3236.34</v>
      </c>
      <c r="Q127" s="2"/>
      <c r="R127" s="6">
        <f t="shared" si="21"/>
        <v>7.5896072711361512E-4</v>
      </c>
      <c r="S127" s="2"/>
      <c r="T127" s="7">
        <v>4156.7074178499997</v>
      </c>
      <c r="U127" s="2"/>
      <c r="V127" s="6">
        <f t="shared" si="22"/>
        <v>5.385071249170547E-4</v>
      </c>
      <c r="W127" s="2"/>
      <c r="X127" s="7">
        <f t="shared" si="23"/>
        <v>-920.36741784999958</v>
      </c>
      <c r="Y127" s="2"/>
      <c r="Z127" s="6">
        <f t="shared" si="24"/>
        <v>-0.22141741655852387</v>
      </c>
    </row>
    <row r="128" spans="1:26" s="24" customFormat="1" hidden="1" outlineLevel="2" x14ac:dyDescent="0.25">
      <c r="A128" s="26"/>
      <c r="B128" s="11" t="str">
        <f>CONCATENATE("          ", "6115", " - ", "P.E.R.S.")</f>
        <v xml:space="preserve">          6115 - P.E.R.S.</v>
      </c>
      <c r="C128" s="11"/>
      <c r="D128" s="7">
        <v>6355.43</v>
      </c>
      <c r="E128" s="2"/>
      <c r="F128" s="6">
        <f t="shared" si="17"/>
        <v>3.4560164250546241E-2</v>
      </c>
      <c r="G128" s="2"/>
      <c r="H128" s="7">
        <v>4739.7712141538505</v>
      </c>
      <c r="I128" s="2"/>
      <c r="J128" s="6">
        <f t="shared" si="18"/>
        <v>1.1499582001930884E-2</v>
      </c>
      <c r="K128" s="2"/>
      <c r="L128" s="7">
        <f t="shared" si="19"/>
        <v>1615.6587858461498</v>
      </c>
      <c r="M128" s="2"/>
      <c r="N128" s="6">
        <f t="shared" si="20"/>
        <v>0.34087273685731667</v>
      </c>
      <c r="O128" s="11"/>
      <c r="P128" s="7">
        <v>62172.14</v>
      </c>
      <c r="Q128" s="2"/>
      <c r="R128" s="6">
        <f t="shared" si="21"/>
        <v>1.4580115989237679E-2</v>
      </c>
      <c r="S128" s="2"/>
      <c r="T128" s="7">
        <v>45907.168596000003</v>
      </c>
      <c r="U128" s="2"/>
      <c r="V128" s="6">
        <f t="shared" si="22"/>
        <v>5.9473364104373838E-3</v>
      </c>
      <c r="W128" s="2"/>
      <c r="X128" s="7">
        <f t="shared" si="23"/>
        <v>16264.971403999996</v>
      </c>
      <c r="Y128" s="2"/>
      <c r="Z128" s="6">
        <f t="shared" si="24"/>
        <v>0.35430134119439466</v>
      </c>
    </row>
    <row r="129" spans="1:26" s="24" customFormat="1" hidden="1" outlineLevel="2" x14ac:dyDescent="0.25">
      <c r="A129" s="26"/>
      <c r="B129" s="11" t="str">
        <f>CONCATENATE("          ", "6116", " - ", "EDUCATIONAL BENEFITS")</f>
        <v xml:space="preserve">          6116 - EDUCATIONAL BENEFITS</v>
      </c>
      <c r="C129" s="11"/>
      <c r="D129" s="7"/>
      <c r="E129" s="2"/>
      <c r="F129" s="6">
        <f t="shared" si="17"/>
        <v>0</v>
      </c>
      <c r="G129" s="2"/>
      <c r="H129" s="7">
        <v>0</v>
      </c>
      <c r="I129" s="2"/>
      <c r="J129" s="6">
        <f t="shared" si="18"/>
        <v>0</v>
      </c>
      <c r="K129" s="2"/>
      <c r="L129" s="7">
        <f t="shared" si="19"/>
        <v>0</v>
      </c>
      <c r="M129" s="2"/>
      <c r="N129" s="6">
        <f t="shared" si="20"/>
        <v>0</v>
      </c>
      <c r="O129" s="11"/>
      <c r="P129" s="7">
        <v>0</v>
      </c>
      <c r="Q129" s="2"/>
      <c r="R129" s="6">
        <f t="shared" si="21"/>
        <v>0</v>
      </c>
      <c r="S129" s="2"/>
      <c r="T129" s="7">
        <v>0</v>
      </c>
      <c r="U129" s="2"/>
      <c r="V129" s="6">
        <f t="shared" si="22"/>
        <v>0</v>
      </c>
      <c r="W129" s="2"/>
      <c r="X129" s="7">
        <f t="shared" si="23"/>
        <v>0</v>
      </c>
      <c r="Y129" s="2"/>
      <c r="Z129" s="6">
        <f t="shared" si="24"/>
        <v>0</v>
      </c>
    </row>
    <row r="130" spans="1:26" s="24" customFormat="1" hidden="1" outlineLevel="2" x14ac:dyDescent="0.25">
      <c r="A130" s="26"/>
      <c r="B130" s="11" t="str">
        <f>CONCATENATE("          ", "6117", " - ", "RETIREMENT STAFF HOURLY")</f>
        <v xml:space="preserve">          6117 - RETIREMENT STAFF HOURLY</v>
      </c>
      <c r="C130" s="11"/>
      <c r="D130" s="7">
        <v>650.84</v>
      </c>
      <c r="E130" s="2"/>
      <c r="F130" s="6">
        <f t="shared" si="17"/>
        <v>3.5391999126456455E-3</v>
      </c>
      <c r="G130" s="2"/>
      <c r="H130" s="7"/>
      <c r="I130" s="2"/>
      <c r="J130" s="6">
        <f t="shared" si="18"/>
        <v>0</v>
      </c>
      <c r="K130" s="2"/>
      <c r="L130" s="7">
        <f t="shared" si="19"/>
        <v>650.84</v>
      </c>
      <c r="M130" s="2"/>
      <c r="N130" s="6">
        <f t="shared" si="20"/>
        <v>0</v>
      </c>
      <c r="O130" s="11"/>
      <c r="P130" s="7">
        <v>3401.26</v>
      </c>
      <c r="Q130" s="2"/>
      <c r="R130" s="6">
        <f t="shared" si="21"/>
        <v>7.9763645435969473E-4</v>
      </c>
      <c r="S130" s="2"/>
      <c r="T130" s="7"/>
      <c r="U130" s="2"/>
      <c r="V130" s="6">
        <f t="shared" si="22"/>
        <v>0</v>
      </c>
      <c r="W130" s="2"/>
      <c r="X130" s="7">
        <f t="shared" si="23"/>
        <v>3401.26</v>
      </c>
      <c r="Y130" s="2"/>
      <c r="Z130" s="6">
        <f t="shared" si="24"/>
        <v>0</v>
      </c>
    </row>
    <row r="131" spans="1:26" s="24" customFormat="1" hidden="1" outlineLevel="2" x14ac:dyDescent="0.25">
      <c r="A131" s="26"/>
      <c r="B131" s="11" t="str">
        <f>CONCATENATE("          ", "6118", " - ", "VACATION")</f>
        <v xml:space="preserve">          6118 - VACATION</v>
      </c>
      <c r="C131" s="11"/>
      <c r="D131" s="7">
        <v>5455.57</v>
      </c>
      <c r="E131" s="2"/>
      <c r="F131" s="6">
        <f t="shared" si="17"/>
        <v>2.9666819598414666E-2</v>
      </c>
      <c r="G131" s="2"/>
      <c r="H131" s="7">
        <v>3978.83801230769</v>
      </c>
      <c r="I131" s="2"/>
      <c r="J131" s="6">
        <f t="shared" si="18"/>
        <v>9.6534140420742216E-3</v>
      </c>
      <c r="K131" s="2"/>
      <c r="L131" s="7">
        <f t="shared" si="19"/>
        <v>1476.7319876923098</v>
      </c>
      <c r="M131" s="2"/>
      <c r="N131" s="6">
        <f t="shared" si="20"/>
        <v>0.37114654658580049</v>
      </c>
      <c r="O131" s="11"/>
      <c r="P131" s="7">
        <v>48946.04</v>
      </c>
      <c r="Q131" s="2"/>
      <c r="R131" s="6">
        <f t="shared" si="21"/>
        <v>1.1478436167934175E-2</v>
      </c>
      <c r="S131" s="2"/>
      <c r="T131" s="7">
        <v>38578.555769999999</v>
      </c>
      <c r="U131" s="2"/>
      <c r="V131" s="6">
        <f t="shared" si="22"/>
        <v>4.9979046064061077E-3</v>
      </c>
      <c r="W131" s="2"/>
      <c r="X131" s="7">
        <f t="shared" si="23"/>
        <v>10367.484230000002</v>
      </c>
      <c r="Y131" s="2"/>
      <c r="Z131" s="6">
        <f t="shared" si="24"/>
        <v>0.26873697117666884</v>
      </c>
    </row>
    <row r="132" spans="1:26" s="24" customFormat="1" hidden="1" outlineLevel="2" x14ac:dyDescent="0.25">
      <c r="A132" s="26"/>
      <c r="B132" s="11" t="str">
        <f>CONCATENATE("          ", "6119", " - ", "SICK LEAVE")</f>
        <v xml:space="preserve">          6119 - SICK LEAVE</v>
      </c>
      <c r="C132" s="11"/>
      <c r="D132" s="7">
        <v>3824.03</v>
      </c>
      <c r="E132" s="2"/>
      <c r="F132" s="6">
        <f t="shared" si="17"/>
        <v>2.0794675560743544E-2</v>
      </c>
      <c r="G132" s="2"/>
      <c r="H132" s="7">
        <v>4128.1825703846098</v>
      </c>
      <c r="I132" s="2"/>
      <c r="J132" s="6">
        <f t="shared" si="18"/>
        <v>1.0015752204519529E-2</v>
      </c>
      <c r="K132" s="2"/>
      <c r="L132" s="7">
        <f t="shared" si="19"/>
        <v>-304.15257038460959</v>
      </c>
      <c r="M132" s="2"/>
      <c r="N132" s="6">
        <f t="shared" si="20"/>
        <v>-7.3677112191351715E-2</v>
      </c>
      <c r="O132" s="11"/>
      <c r="P132" s="7">
        <v>34968.51</v>
      </c>
      <c r="Q132" s="2"/>
      <c r="R132" s="6">
        <f t="shared" si="21"/>
        <v>8.2005369570810616E-3</v>
      </c>
      <c r="S132" s="2"/>
      <c r="T132" s="7">
        <v>42105.229567499999</v>
      </c>
      <c r="U132" s="2"/>
      <c r="V132" s="6">
        <f t="shared" si="22"/>
        <v>5.4547900150486864E-3</v>
      </c>
      <c r="W132" s="2"/>
      <c r="X132" s="7">
        <f t="shared" si="23"/>
        <v>-7136.7195674999966</v>
      </c>
      <c r="Y132" s="2"/>
      <c r="Z132" s="6">
        <f t="shared" si="24"/>
        <v>-0.16949722494824387</v>
      </c>
    </row>
    <row r="133" spans="1:26" s="24" customFormat="1" hidden="1" outlineLevel="2" x14ac:dyDescent="0.25">
      <c r="A133" s="26"/>
      <c r="B133" s="11" t="str">
        <f>CONCATENATE("          ", "6156", " - ", "EMPLOYEE MEALS")</f>
        <v xml:space="preserve">          6156 - EMPLOYEE MEALS</v>
      </c>
      <c r="C133" s="11"/>
      <c r="D133" s="7">
        <v>1556.92</v>
      </c>
      <c r="E133" s="2"/>
      <c r="F133" s="6">
        <f t="shared" si="17"/>
        <v>8.4663682748390666E-3</v>
      </c>
      <c r="G133" s="2"/>
      <c r="H133" s="7">
        <v>1625</v>
      </c>
      <c r="I133" s="2"/>
      <c r="J133" s="6">
        <f t="shared" si="18"/>
        <v>3.9425575431437107E-3</v>
      </c>
      <c r="K133" s="2"/>
      <c r="L133" s="7">
        <f t="shared" si="19"/>
        <v>-68.079999999999927</v>
      </c>
      <c r="M133" s="2"/>
      <c r="N133" s="6">
        <f t="shared" si="20"/>
        <v>-4.189538461538457E-2</v>
      </c>
      <c r="O133" s="11"/>
      <c r="P133" s="7">
        <v>12496.47</v>
      </c>
      <c r="Q133" s="2"/>
      <c r="R133" s="6">
        <f t="shared" si="21"/>
        <v>2.930572794438618E-3</v>
      </c>
      <c r="S133" s="2"/>
      <c r="T133" s="7">
        <v>14625</v>
      </c>
      <c r="U133" s="2"/>
      <c r="V133" s="6">
        <f t="shared" si="22"/>
        <v>1.8946887308189486E-3</v>
      </c>
      <c r="W133" s="2"/>
      <c r="X133" s="7">
        <f t="shared" si="23"/>
        <v>-2128.5300000000007</v>
      </c>
      <c r="Y133" s="2"/>
      <c r="Z133" s="6">
        <f t="shared" si="24"/>
        <v>-0.14554051282051286</v>
      </c>
    </row>
    <row r="134" spans="1:26" s="25" customFormat="1" outlineLevel="1" collapsed="1" x14ac:dyDescent="0.25">
      <c r="A134" s="27"/>
      <c r="B134" s="13" t="str">
        <f>CONCATENATE("     ","*Payroll                                          ")</f>
        <v xml:space="preserve">     *Payroll                                          </v>
      </c>
      <c r="C134" s="13"/>
      <c r="D134" s="1">
        <f>SUM(OSRRefD22_1x_0)</f>
        <v>116406.42</v>
      </c>
      <c r="E134" s="1"/>
      <c r="F134" s="5">
        <f t="shared" ref="F134:F144" si="25">IF(D$12=0,0,D134/D$12)</f>
        <v>0.63300594845951741</v>
      </c>
      <c r="G134" s="1"/>
      <c r="H134" s="1">
        <f>SUM(OSRRefH22_1x_0)</f>
        <v>140476.21294369231</v>
      </c>
      <c r="I134" s="1"/>
      <c r="J134" s="5">
        <f t="shared" ref="J134:J144" si="26">IF(H$12=0,0,H134/H$12)</f>
        <v>0.34082187875287157</v>
      </c>
      <c r="K134" s="1"/>
      <c r="L134" s="1">
        <f t="shared" ref="L134:L144" si="27">+D134-H134</f>
        <v>-24069.792943692315</v>
      </c>
      <c r="M134" s="1"/>
      <c r="N134" s="5">
        <f t="shared" ref="N134:N144" si="28">IF(H134=0,0,L134/H134)</f>
        <v>-0.17134426134722405</v>
      </c>
      <c r="O134" s="13"/>
      <c r="P134" s="1">
        <f>SUM(OSRRefP22_1x_0)</f>
        <v>1123061.8</v>
      </c>
      <c r="Q134" s="1"/>
      <c r="R134" s="5">
        <f t="shared" ref="R134:R144" si="29">IF(P$12=0,0,P134/P$12)</f>
        <v>0.26337152472284286</v>
      </c>
      <c r="S134" s="1"/>
      <c r="T134" s="1">
        <f>SUM(OSRRefT22_1x_0)</f>
        <v>1487385.4207760002</v>
      </c>
      <c r="U134" s="1"/>
      <c r="V134" s="5">
        <f t="shared" ref="V134:V144" si="30">IF(T$12=0,0,T134/T$12)</f>
        <v>0.19269281334213251</v>
      </c>
      <c r="W134" s="1"/>
      <c r="X134" s="1">
        <f t="shared" ref="X134:X144" si="31">+P134-T134</f>
        <v>-364323.6207760002</v>
      </c>
      <c r="Y134" s="1"/>
      <c r="Z134" s="5">
        <f t="shared" ref="Z134:Z144" si="32">IF(T134=0,0,X134/T134)</f>
        <v>-0.24494230996692498</v>
      </c>
    </row>
    <row r="135" spans="1:26" s="24" customFormat="1" hidden="1" outlineLevel="2" x14ac:dyDescent="0.25">
      <c r="A135" s="26"/>
      <c r="B135" s="11" t="str">
        <f>CONCATENATE("          ", "6001", " - ", "ADMINISTRATIVE SALARIES")</f>
        <v xml:space="preserve">          6001 - ADMINISTRATIVE SALARIES</v>
      </c>
      <c r="C135" s="11"/>
      <c r="D135" s="7">
        <v>4279.74</v>
      </c>
      <c r="E135" s="2"/>
      <c r="F135" s="6">
        <f t="shared" si="25"/>
        <v>2.3272778922847508E-2</v>
      </c>
      <c r="G135" s="2"/>
      <c r="H135" s="7">
        <v>7759.6923076923104</v>
      </c>
      <c r="I135" s="2"/>
      <c r="J135" s="6">
        <f t="shared" si="26"/>
        <v>1.8826482117025565E-2</v>
      </c>
      <c r="K135" s="2"/>
      <c r="L135" s="7">
        <f t="shared" si="27"/>
        <v>-3479.9523076923106</v>
      </c>
      <c r="M135" s="2"/>
      <c r="N135" s="6">
        <f t="shared" si="28"/>
        <v>-0.44846524445854336</v>
      </c>
      <c r="O135" s="11"/>
      <c r="P135" s="7">
        <v>38776.33</v>
      </c>
      <c r="Q135" s="2"/>
      <c r="R135" s="6">
        <f t="shared" si="29"/>
        <v>9.0935166303903435E-3</v>
      </c>
      <c r="S135" s="2"/>
      <c r="T135" s="7">
        <v>75657</v>
      </c>
      <c r="U135" s="2"/>
      <c r="V135" s="6">
        <f t="shared" si="30"/>
        <v>9.8014677133380652E-3</v>
      </c>
      <c r="W135" s="2"/>
      <c r="X135" s="7">
        <f t="shared" si="31"/>
        <v>-36880.67</v>
      </c>
      <c r="Y135" s="2"/>
      <c r="Z135" s="6">
        <f t="shared" si="32"/>
        <v>-0.48747201184292266</v>
      </c>
    </row>
    <row r="136" spans="1:26" s="24" customFormat="1" hidden="1" outlineLevel="2" x14ac:dyDescent="0.25">
      <c r="A136" s="26"/>
      <c r="B136" s="11" t="str">
        <f>CONCATENATE("          ", "6002", " - ", "STAFF SALARIES")</f>
        <v xml:space="preserve">          6002 - STAFF SALARIES</v>
      </c>
      <c r="C136" s="11"/>
      <c r="D136" s="7">
        <v>59850.43</v>
      </c>
      <c r="E136" s="2"/>
      <c r="F136" s="6">
        <f t="shared" si="25"/>
        <v>0.32546038446900055</v>
      </c>
      <c r="G136" s="2"/>
      <c r="H136" s="7">
        <v>41699.298056</v>
      </c>
      <c r="I136" s="2"/>
      <c r="J136" s="6">
        <f t="shared" si="26"/>
        <v>0.10117038898121887</v>
      </c>
      <c r="K136" s="2"/>
      <c r="L136" s="7">
        <f t="shared" si="27"/>
        <v>18151.131944000001</v>
      </c>
      <c r="M136" s="2"/>
      <c r="N136" s="6">
        <f t="shared" si="28"/>
        <v>0.43528627075745902</v>
      </c>
      <c r="O136" s="11"/>
      <c r="P136" s="7">
        <v>534875.47</v>
      </c>
      <c r="Q136" s="2"/>
      <c r="R136" s="6">
        <f t="shared" si="29"/>
        <v>0.1254347428349421</v>
      </c>
      <c r="S136" s="2"/>
      <c r="T136" s="7">
        <v>403370.00874600001</v>
      </c>
      <c r="U136" s="2"/>
      <c r="V136" s="6">
        <f t="shared" si="30"/>
        <v>5.2257135721120472E-2</v>
      </c>
      <c r="W136" s="2"/>
      <c r="X136" s="7">
        <f t="shared" si="31"/>
        <v>131505.46125399997</v>
      </c>
      <c r="Y136" s="2"/>
      <c r="Z136" s="6">
        <f t="shared" si="32"/>
        <v>0.32601695317613033</v>
      </c>
    </row>
    <row r="137" spans="1:26" s="24" customFormat="1" hidden="1" outlineLevel="2" x14ac:dyDescent="0.25">
      <c r="A137" s="26"/>
      <c r="B137" s="11" t="str">
        <f>CONCATENATE("          ", "6003", " - ", "STAFF HOURLY-9 MONTH")</f>
        <v xml:space="preserve">          6003 - STAFF HOURLY-9 MONTH</v>
      </c>
      <c r="C137" s="11"/>
      <c r="D137" s="7"/>
      <c r="E137" s="2"/>
      <c r="F137" s="6">
        <f t="shared" si="25"/>
        <v>0</v>
      </c>
      <c r="G137" s="2"/>
      <c r="H137" s="7">
        <v>0</v>
      </c>
      <c r="I137" s="2"/>
      <c r="J137" s="6">
        <f t="shared" si="26"/>
        <v>0</v>
      </c>
      <c r="K137" s="2"/>
      <c r="L137" s="7">
        <f t="shared" si="27"/>
        <v>0</v>
      </c>
      <c r="M137" s="2"/>
      <c r="N137" s="6">
        <f t="shared" si="28"/>
        <v>0</v>
      </c>
      <c r="O137" s="11"/>
      <c r="P137" s="7"/>
      <c r="Q137" s="2"/>
      <c r="R137" s="6">
        <f t="shared" si="29"/>
        <v>0</v>
      </c>
      <c r="S137" s="2"/>
      <c r="T137" s="7">
        <v>0</v>
      </c>
      <c r="U137" s="2"/>
      <c r="V137" s="6">
        <f t="shared" si="30"/>
        <v>0</v>
      </c>
      <c r="W137" s="2"/>
      <c r="X137" s="7">
        <f t="shared" si="31"/>
        <v>0</v>
      </c>
      <c r="Y137" s="2"/>
      <c r="Z137" s="6">
        <f t="shared" si="32"/>
        <v>0</v>
      </c>
    </row>
    <row r="138" spans="1:26" s="24" customFormat="1" hidden="1" outlineLevel="2" x14ac:dyDescent="0.25">
      <c r="A138" s="26"/>
      <c r="B138" s="11" t="str">
        <f>CONCATENATE("          ", "6004", " - ", "STAFF HOURLY")</f>
        <v xml:space="preserve">          6004 - STAFF HOURLY</v>
      </c>
      <c r="C138" s="11"/>
      <c r="D138" s="7">
        <v>11915.7</v>
      </c>
      <c r="E138" s="2"/>
      <c r="F138" s="6">
        <f t="shared" si="25"/>
        <v>6.4796331508683733E-2</v>
      </c>
      <c r="G138" s="2"/>
      <c r="H138" s="7">
        <v>26651.560079999999</v>
      </c>
      <c r="I138" s="2"/>
      <c r="J138" s="6">
        <f t="shared" si="26"/>
        <v>6.4661728756893411E-2</v>
      </c>
      <c r="K138" s="2"/>
      <c r="L138" s="7">
        <f t="shared" si="27"/>
        <v>-14735.860079999999</v>
      </c>
      <c r="M138" s="2"/>
      <c r="N138" s="6">
        <f t="shared" si="28"/>
        <v>-0.55290797370838185</v>
      </c>
      <c r="O138" s="11"/>
      <c r="P138" s="7">
        <v>137508.13</v>
      </c>
      <c r="Q138" s="2"/>
      <c r="R138" s="6">
        <f t="shared" si="29"/>
        <v>3.2247313424681436E-2</v>
      </c>
      <c r="S138" s="2"/>
      <c r="T138" s="7">
        <v>247190.97078</v>
      </c>
      <c r="U138" s="2"/>
      <c r="V138" s="6">
        <f t="shared" si="30"/>
        <v>3.2023927979286292E-2</v>
      </c>
      <c r="W138" s="2"/>
      <c r="X138" s="7">
        <f t="shared" si="31"/>
        <v>-109682.84078</v>
      </c>
      <c r="Y138" s="2"/>
      <c r="Z138" s="6">
        <f t="shared" si="32"/>
        <v>-0.44371701941175573</v>
      </c>
    </row>
    <row r="139" spans="1:26" s="24" customFormat="1" hidden="1" outlineLevel="2" x14ac:dyDescent="0.25">
      <c r="A139" s="26"/>
      <c r="B139" s="11" t="str">
        <f>CONCATENATE("          ", "6005", " - ", "TEMPORARY WAGES-HOURLY")</f>
        <v xml:space="preserve">          6005 - TEMPORARY WAGES-HOURLY</v>
      </c>
      <c r="C139" s="11"/>
      <c r="D139" s="7">
        <v>13818.91</v>
      </c>
      <c r="E139" s="2"/>
      <c r="F139" s="6">
        <f t="shared" si="25"/>
        <v>7.5145788619104592E-2</v>
      </c>
      <c r="G139" s="2"/>
      <c r="H139" s="7">
        <v>5022</v>
      </c>
      <c r="I139" s="2"/>
      <c r="J139" s="6">
        <f t="shared" si="26"/>
        <v>1.2184322450257055E-2</v>
      </c>
      <c r="K139" s="2"/>
      <c r="L139" s="7">
        <f t="shared" si="27"/>
        <v>8796.91</v>
      </c>
      <c r="M139" s="2"/>
      <c r="N139" s="6">
        <f t="shared" si="28"/>
        <v>1.7516746316208682</v>
      </c>
      <c r="O139" s="11"/>
      <c r="P139" s="7">
        <v>136226.98000000001</v>
      </c>
      <c r="Q139" s="2"/>
      <c r="R139" s="6">
        <f t="shared" si="29"/>
        <v>3.1946868312134044E-2</v>
      </c>
      <c r="S139" s="2"/>
      <c r="T139" s="7">
        <v>39111.440000000002</v>
      </c>
      <c r="U139" s="2"/>
      <c r="V139" s="6">
        <f t="shared" si="30"/>
        <v>5.0669404864342885E-3</v>
      </c>
      <c r="W139" s="2"/>
      <c r="X139" s="7">
        <f t="shared" si="31"/>
        <v>97115.540000000008</v>
      </c>
      <c r="Y139" s="2"/>
      <c r="Z139" s="6">
        <f t="shared" si="32"/>
        <v>2.4830469039237624</v>
      </c>
    </row>
    <row r="140" spans="1:26" s="24" customFormat="1" hidden="1" outlineLevel="2" x14ac:dyDescent="0.25">
      <c r="A140" s="26"/>
      <c r="B140" s="11" t="str">
        <f>CONCATENATE("          ", "6006", " - ", "TEMPORARY PART TIME")</f>
        <v xml:space="preserve">          6006 - TEMPORARY PART TIME</v>
      </c>
      <c r="C140" s="11"/>
      <c r="D140" s="7">
        <v>2022.89</v>
      </c>
      <c r="E140" s="2"/>
      <c r="F140" s="6">
        <f t="shared" si="25"/>
        <v>1.1000264444858566E-2</v>
      </c>
      <c r="G140" s="2"/>
      <c r="H140" s="7">
        <v>0</v>
      </c>
      <c r="I140" s="2"/>
      <c r="J140" s="6">
        <f t="shared" si="26"/>
        <v>0</v>
      </c>
      <c r="K140" s="2"/>
      <c r="L140" s="7">
        <f t="shared" si="27"/>
        <v>2022.89</v>
      </c>
      <c r="M140" s="2"/>
      <c r="N140" s="6">
        <f t="shared" si="28"/>
        <v>0</v>
      </c>
      <c r="O140" s="11"/>
      <c r="P140" s="7">
        <v>14053.29</v>
      </c>
      <c r="Q140" s="2"/>
      <c r="R140" s="6">
        <f t="shared" si="29"/>
        <v>3.2956658437427759E-3</v>
      </c>
      <c r="S140" s="2"/>
      <c r="T140" s="7">
        <v>0</v>
      </c>
      <c r="U140" s="2"/>
      <c r="V140" s="6">
        <f t="shared" si="30"/>
        <v>0</v>
      </c>
      <c r="W140" s="2"/>
      <c r="X140" s="7">
        <f t="shared" si="31"/>
        <v>14053.29</v>
      </c>
      <c r="Y140" s="2"/>
      <c r="Z140" s="6">
        <f t="shared" si="32"/>
        <v>0</v>
      </c>
    </row>
    <row r="141" spans="1:26" s="24" customFormat="1" hidden="1" outlineLevel="2" x14ac:dyDescent="0.25">
      <c r="A141" s="26"/>
      <c r="B141" s="11" t="str">
        <f>CONCATENATE("          ", "6007", " - ", "STUDENT HOURLY")</f>
        <v xml:space="preserve">          6007 - STUDENT HOURLY</v>
      </c>
      <c r="C141" s="11"/>
      <c r="D141" s="7">
        <v>23406.38</v>
      </c>
      <c r="E141" s="2"/>
      <c r="F141" s="6">
        <f t="shared" si="25"/>
        <v>0.12728144866841432</v>
      </c>
      <c r="G141" s="2"/>
      <c r="H141" s="7">
        <v>0</v>
      </c>
      <c r="I141" s="2"/>
      <c r="J141" s="6">
        <f t="shared" si="26"/>
        <v>0</v>
      </c>
      <c r="K141" s="2"/>
      <c r="L141" s="7">
        <f t="shared" si="27"/>
        <v>23406.38</v>
      </c>
      <c r="M141" s="2"/>
      <c r="N141" s="6">
        <f t="shared" si="28"/>
        <v>0</v>
      </c>
      <c r="O141" s="11"/>
      <c r="P141" s="7">
        <v>253209.98</v>
      </c>
      <c r="Q141" s="2"/>
      <c r="R141" s="6">
        <f t="shared" si="29"/>
        <v>5.9380791428967267E-2</v>
      </c>
      <c r="S141" s="2"/>
      <c r="T141" s="7">
        <v>151898.36249999999</v>
      </c>
      <c r="U141" s="2"/>
      <c r="V141" s="6">
        <f t="shared" si="30"/>
        <v>1.9678640386912926E-2</v>
      </c>
      <c r="W141" s="2"/>
      <c r="X141" s="7">
        <f t="shared" si="31"/>
        <v>101311.61750000002</v>
      </c>
      <c r="Y141" s="2"/>
      <c r="Z141" s="6">
        <f t="shared" si="32"/>
        <v>0.66696978053334866</v>
      </c>
    </row>
    <row r="142" spans="1:26" s="24" customFormat="1" hidden="1" outlineLevel="2" x14ac:dyDescent="0.25">
      <c r="A142" s="26"/>
      <c r="B142" s="11" t="str">
        <f>CONCATENATE("          ", "6008", " - ", "STUDENT HOURLY-FICA EXEMPT")</f>
        <v xml:space="preserve">          6008 - STUDENT HOURLY-FICA EXEMPT</v>
      </c>
      <c r="C142" s="11"/>
      <c r="D142" s="7">
        <v>1112.3699999999999</v>
      </c>
      <c r="E142" s="2"/>
      <c r="F142" s="6">
        <f t="shared" si="25"/>
        <v>6.0489518266081312E-3</v>
      </c>
      <c r="G142" s="2"/>
      <c r="H142" s="7">
        <v>59343.662499999999</v>
      </c>
      <c r="I142" s="2"/>
      <c r="J142" s="6">
        <f t="shared" si="26"/>
        <v>0.14397895644747663</v>
      </c>
      <c r="K142" s="2"/>
      <c r="L142" s="7">
        <f t="shared" si="27"/>
        <v>-58231.292499999996</v>
      </c>
      <c r="M142" s="2"/>
      <c r="N142" s="6">
        <f t="shared" si="28"/>
        <v>-0.98125545419445581</v>
      </c>
      <c r="O142" s="11"/>
      <c r="P142" s="7">
        <v>8411.6200000000008</v>
      </c>
      <c r="Q142" s="2"/>
      <c r="R142" s="6">
        <f t="shared" si="29"/>
        <v>1.9726262479848925E-3</v>
      </c>
      <c r="S142" s="2"/>
      <c r="T142" s="7">
        <v>570157.63875000004</v>
      </c>
      <c r="U142" s="2"/>
      <c r="V142" s="6">
        <f t="shared" si="30"/>
        <v>7.3864701055040421E-2</v>
      </c>
      <c r="W142" s="2"/>
      <c r="X142" s="7">
        <f t="shared" si="31"/>
        <v>-561746.01875000005</v>
      </c>
      <c r="Y142" s="2"/>
      <c r="Z142" s="6">
        <f t="shared" si="32"/>
        <v>-0.98524685204877471</v>
      </c>
    </row>
    <row r="143" spans="1:26" s="24" customFormat="1" hidden="1" outlineLevel="2" x14ac:dyDescent="0.25">
      <c r="A143" s="26"/>
      <c r="B143" s="11" t="str">
        <f>CONCATENATE("          ", "6009", " - ", "TEMPORARY-SEASONAL")</f>
        <v xml:space="preserve">          6009 - TEMPORARY-SEASONAL</v>
      </c>
      <c r="C143" s="11"/>
      <c r="D143" s="7"/>
      <c r="E143" s="2"/>
      <c r="F143" s="6">
        <f t="shared" si="25"/>
        <v>0</v>
      </c>
      <c r="G143" s="2"/>
      <c r="H143" s="7">
        <v>0</v>
      </c>
      <c r="I143" s="2"/>
      <c r="J143" s="6">
        <f t="shared" si="26"/>
        <v>0</v>
      </c>
      <c r="K143" s="2"/>
      <c r="L143" s="7">
        <f t="shared" si="27"/>
        <v>0</v>
      </c>
      <c r="M143" s="2"/>
      <c r="N143" s="6">
        <f t="shared" si="28"/>
        <v>0</v>
      </c>
      <c r="O143" s="11"/>
      <c r="P143" s="7"/>
      <c r="Q143" s="2"/>
      <c r="R143" s="6">
        <f t="shared" si="29"/>
        <v>0</v>
      </c>
      <c r="S143" s="2"/>
      <c r="T143" s="7">
        <v>0</v>
      </c>
      <c r="U143" s="2"/>
      <c r="V143" s="6">
        <f t="shared" si="30"/>
        <v>0</v>
      </c>
      <c r="W143" s="2"/>
      <c r="X143" s="7">
        <f t="shared" si="31"/>
        <v>0</v>
      </c>
      <c r="Y143" s="2"/>
      <c r="Z143" s="6">
        <f t="shared" si="32"/>
        <v>0</v>
      </c>
    </row>
    <row r="144" spans="1:26" s="24" customFormat="1" hidden="1" outlineLevel="2" x14ac:dyDescent="0.25">
      <c r="A144" s="26"/>
      <c r="B144" s="11" t="str">
        <f>CONCATENATE("          ", "6010", " - ", "GRATUITY")</f>
        <v xml:space="preserve">          6010 - GRATUITY</v>
      </c>
      <c r="C144" s="11"/>
      <c r="D144" s="7"/>
      <c r="E144" s="2"/>
      <c r="F144" s="6">
        <f t="shared" si="25"/>
        <v>0</v>
      </c>
      <c r="G144" s="2"/>
      <c r="H144" s="7">
        <v>0</v>
      </c>
      <c r="I144" s="2"/>
      <c r="J144" s="6">
        <f t="shared" si="26"/>
        <v>0</v>
      </c>
      <c r="K144" s="2"/>
      <c r="L144" s="7">
        <f t="shared" si="27"/>
        <v>0</v>
      </c>
      <c r="M144" s="2"/>
      <c r="N144" s="6">
        <f t="shared" si="28"/>
        <v>0</v>
      </c>
      <c r="O144" s="11"/>
      <c r="P144" s="7"/>
      <c r="Q144" s="2"/>
      <c r="R144" s="6">
        <f t="shared" si="29"/>
        <v>0</v>
      </c>
      <c r="S144" s="2"/>
      <c r="T144" s="7">
        <v>0</v>
      </c>
      <c r="U144" s="2"/>
      <c r="V144" s="6">
        <f t="shared" si="30"/>
        <v>0</v>
      </c>
      <c r="W144" s="2"/>
      <c r="X144" s="7">
        <f t="shared" si="31"/>
        <v>0</v>
      </c>
      <c r="Y144" s="2"/>
      <c r="Z144" s="6">
        <f t="shared" si="32"/>
        <v>0</v>
      </c>
    </row>
    <row r="145" spans="1:26" s="25" customFormat="1" outlineLevel="1" collapsed="1" x14ac:dyDescent="0.25">
      <c r="A145" s="27"/>
      <c r="B145" s="13" t="str">
        <f>CONCATENATE("     ","Advertising/Promo                                 ")</f>
        <v xml:space="preserve">     Advertising/Promo                                 </v>
      </c>
      <c r="C145" s="13"/>
      <c r="D145" s="1">
        <f>SUM(OSRRefD22_2x_0)</f>
        <v>73.430000000000007</v>
      </c>
      <c r="E145" s="1"/>
      <c r="F145" s="5">
        <f t="shared" ref="F145:F149" si="33">IF(D$12=0,0,D145/D$12)</f>
        <v>3.9930466717713993E-4</v>
      </c>
      <c r="G145" s="1"/>
      <c r="H145" s="1">
        <f>SUM(OSRRefH22_2x_0)</f>
        <v>2380</v>
      </c>
      <c r="I145" s="1"/>
      <c r="J145" s="5">
        <f t="shared" ref="J145:J149" si="34">IF(H$12=0,0,H145/H$12)</f>
        <v>5.7743304324197114E-3</v>
      </c>
      <c r="K145" s="1"/>
      <c r="L145" s="1">
        <f t="shared" ref="L145:L149" si="35">+D145-H145</f>
        <v>-2306.5700000000002</v>
      </c>
      <c r="M145" s="1"/>
      <c r="N145" s="5">
        <f t="shared" ref="N145:N149" si="36">IF(H145=0,0,L145/H145)</f>
        <v>-0.96914705882352947</v>
      </c>
      <c r="O145" s="13"/>
      <c r="P145" s="1">
        <f>SUM(OSRRefP22_2x_0)</f>
        <v>16222.22</v>
      </c>
      <c r="Q145" s="1"/>
      <c r="R145" s="5">
        <f t="shared" ref="R145:R149" si="37">IF(P$12=0,0,P145/P$12)</f>
        <v>3.804306063824267E-3</v>
      </c>
      <c r="S145" s="1"/>
      <c r="T145" s="1">
        <f>SUM(OSRRefT22_2x_0)</f>
        <v>11720</v>
      </c>
      <c r="U145" s="1"/>
      <c r="V145" s="5">
        <f t="shared" ref="V145:V149" si="38">IF(T$12=0,0,T145/T$12)</f>
        <v>1.5183420119793557E-3</v>
      </c>
      <c r="W145" s="1"/>
      <c r="X145" s="1">
        <f t="shared" ref="X145:X149" si="39">+P145-T145</f>
        <v>4502.2199999999993</v>
      </c>
      <c r="Y145" s="1"/>
      <c r="Z145" s="5">
        <f t="shared" ref="Z145:Z149" si="40">IF(T145=0,0,X145/T145)</f>
        <v>0.38414846416382248</v>
      </c>
    </row>
    <row r="146" spans="1:26" s="24" customFormat="1" hidden="1" outlineLevel="2" x14ac:dyDescent="0.25">
      <c r="A146" s="26"/>
      <c r="B146" s="11" t="str">
        <f>CONCATENATE("          ", "6362", " - ", "ADVERTISING EXPENSE")</f>
        <v xml:space="preserve">          6362 - ADVERTISING EXPENSE</v>
      </c>
      <c r="C146" s="11"/>
      <c r="D146" s="7">
        <v>73.430000000000007</v>
      </c>
      <c r="E146" s="2"/>
      <c r="F146" s="6">
        <f t="shared" si="33"/>
        <v>3.9930466717713993E-4</v>
      </c>
      <c r="G146" s="2"/>
      <c r="H146" s="7">
        <v>2380</v>
      </c>
      <c r="I146" s="2"/>
      <c r="J146" s="6">
        <f t="shared" si="34"/>
        <v>5.7743304324197114E-3</v>
      </c>
      <c r="K146" s="2"/>
      <c r="L146" s="7">
        <f t="shared" si="35"/>
        <v>-2306.5700000000002</v>
      </c>
      <c r="M146" s="2"/>
      <c r="N146" s="6">
        <f t="shared" si="36"/>
        <v>-0.96914705882352947</v>
      </c>
      <c r="O146" s="11"/>
      <c r="P146" s="7">
        <v>16222.22</v>
      </c>
      <c r="Q146" s="2"/>
      <c r="R146" s="6">
        <f t="shared" si="37"/>
        <v>3.804306063824267E-3</v>
      </c>
      <c r="S146" s="2"/>
      <c r="T146" s="7">
        <v>11720</v>
      </c>
      <c r="U146" s="2"/>
      <c r="V146" s="6">
        <f t="shared" si="38"/>
        <v>1.5183420119793557E-3</v>
      </c>
      <c r="W146" s="2"/>
      <c r="X146" s="7">
        <f t="shared" si="39"/>
        <v>4502.2199999999993</v>
      </c>
      <c r="Y146" s="2"/>
      <c r="Z146" s="6">
        <f t="shared" si="40"/>
        <v>0.38414846416382248</v>
      </c>
    </row>
    <row r="147" spans="1:26" s="25" customFormat="1" outlineLevel="1" collapsed="1" x14ac:dyDescent="0.25">
      <c r="A147" s="27"/>
      <c r="B147" s="13" t="str">
        <f>CONCATENATE("     ","Bad Debts/Over/Short                              ")</f>
        <v xml:space="preserve">     Bad Debts/Over/Short                              </v>
      </c>
      <c r="C147" s="13"/>
      <c r="D147" s="1">
        <f>SUM(OSRRefD22_3x_0)</f>
        <v>-16.510000000000002</v>
      </c>
      <c r="E147" s="1"/>
      <c r="F147" s="5">
        <f t="shared" si="33"/>
        <v>-8.9779654842633537E-5</v>
      </c>
      <c r="G147" s="1"/>
      <c r="H147" s="1">
        <f>SUM(OSRRefH22_3x_0)</f>
        <v>110</v>
      </c>
      <c r="I147" s="1"/>
      <c r="J147" s="5">
        <f t="shared" si="34"/>
        <v>2.6688081830511268E-4</v>
      </c>
      <c r="K147" s="1"/>
      <c r="L147" s="1">
        <f t="shared" si="35"/>
        <v>-126.51</v>
      </c>
      <c r="M147" s="1"/>
      <c r="N147" s="5">
        <f t="shared" si="36"/>
        <v>-1.1500909090909091</v>
      </c>
      <c r="O147" s="13"/>
      <c r="P147" s="1">
        <f>SUM(OSRRefP22_3x_0)</f>
        <v>5183.95</v>
      </c>
      <c r="Q147" s="1"/>
      <c r="R147" s="5">
        <f t="shared" si="37"/>
        <v>1.2156987403426787E-3</v>
      </c>
      <c r="S147" s="1"/>
      <c r="T147" s="1">
        <f>SUM(OSRRefT22_3x_0)</f>
        <v>990</v>
      </c>
      <c r="U147" s="1"/>
      <c r="V147" s="5">
        <f t="shared" si="38"/>
        <v>1.282558525477442E-4</v>
      </c>
      <c r="W147" s="1"/>
      <c r="X147" s="1">
        <f t="shared" si="39"/>
        <v>4193.95</v>
      </c>
      <c r="Y147" s="1"/>
      <c r="Z147" s="5">
        <f t="shared" si="40"/>
        <v>4.236313131313131</v>
      </c>
    </row>
    <row r="148" spans="1:26" s="24" customFormat="1" hidden="1" outlineLevel="2" x14ac:dyDescent="0.25">
      <c r="A148" s="26"/>
      <c r="B148" s="11" t="str">
        <f>CONCATENATE("          ", "6272", " - ", "CASH (OVER/SHORT)")</f>
        <v xml:space="preserve">          6272 - CASH (OVER/SHORT)</v>
      </c>
      <c r="C148" s="11"/>
      <c r="D148" s="7">
        <v>-16.510000000000002</v>
      </c>
      <c r="E148" s="2"/>
      <c r="F148" s="6">
        <f t="shared" si="33"/>
        <v>-8.9779654842633537E-5</v>
      </c>
      <c r="G148" s="2"/>
      <c r="H148" s="7">
        <v>60</v>
      </c>
      <c r="I148" s="2"/>
      <c r="J148" s="6">
        <f t="shared" si="34"/>
        <v>1.4557135543915239E-4</v>
      </c>
      <c r="K148" s="2"/>
      <c r="L148" s="7">
        <f t="shared" si="35"/>
        <v>-76.510000000000005</v>
      </c>
      <c r="M148" s="2"/>
      <c r="N148" s="6">
        <f t="shared" si="36"/>
        <v>-1.2751666666666668</v>
      </c>
      <c r="O148" s="11"/>
      <c r="P148" s="7">
        <v>-165.47</v>
      </c>
      <c r="Q148" s="2"/>
      <c r="R148" s="6">
        <f t="shared" si="37"/>
        <v>-3.8804708873446511E-5</v>
      </c>
      <c r="S148" s="2"/>
      <c r="T148" s="7">
        <v>540</v>
      </c>
      <c r="U148" s="2"/>
      <c r="V148" s="6">
        <f t="shared" si="38"/>
        <v>6.995773775331503E-5</v>
      </c>
      <c r="W148" s="2"/>
      <c r="X148" s="7">
        <f t="shared" si="39"/>
        <v>-705.47</v>
      </c>
      <c r="Y148" s="2"/>
      <c r="Z148" s="6">
        <f t="shared" si="40"/>
        <v>-1.3064259259259259</v>
      </c>
    </row>
    <row r="149" spans="1:26" s="24" customFormat="1" hidden="1" outlineLevel="2" x14ac:dyDescent="0.25">
      <c r="A149" s="26"/>
      <c r="B149" s="11" t="str">
        <f>CONCATENATE("          ", "6342", " - ", "BAD DEBT")</f>
        <v xml:space="preserve">          6342 - BAD DEBT</v>
      </c>
      <c r="C149" s="11"/>
      <c r="D149" s="7"/>
      <c r="E149" s="2"/>
      <c r="F149" s="6">
        <f t="shared" si="33"/>
        <v>0</v>
      </c>
      <c r="G149" s="2"/>
      <c r="H149" s="7">
        <v>50</v>
      </c>
      <c r="I149" s="2"/>
      <c r="J149" s="6">
        <f t="shared" si="34"/>
        <v>1.2130946286596032E-4</v>
      </c>
      <c r="K149" s="2"/>
      <c r="L149" s="7">
        <f t="shared" si="35"/>
        <v>-50</v>
      </c>
      <c r="M149" s="2"/>
      <c r="N149" s="6">
        <f t="shared" si="36"/>
        <v>-1</v>
      </c>
      <c r="O149" s="11"/>
      <c r="P149" s="7">
        <v>5349.42</v>
      </c>
      <c r="Q149" s="2"/>
      <c r="R149" s="6">
        <f t="shared" si="37"/>
        <v>1.2545034492161251E-3</v>
      </c>
      <c r="S149" s="2"/>
      <c r="T149" s="7">
        <v>450</v>
      </c>
      <c r="U149" s="2"/>
      <c r="V149" s="6">
        <f t="shared" si="38"/>
        <v>5.8298114794429188E-5</v>
      </c>
      <c r="W149" s="2"/>
      <c r="X149" s="7">
        <f t="shared" si="39"/>
        <v>4899.42</v>
      </c>
      <c r="Y149" s="2"/>
      <c r="Z149" s="6">
        <f t="shared" si="40"/>
        <v>10.887600000000001</v>
      </c>
    </row>
    <row r="150" spans="1:26" s="25" customFormat="1" outlineLevel="1" collapsed="1" x14ac:dyDescent="0.25">
      <c r="A150" s="27"/>
      <c r="B150" s="13" t="str">
        <f>CONCATENATE("     ","Bank/card Fees                                    ")</f>
        <v xml:space="preserve">     Bank/card Fees                                    </v>
      </c>
      <c r="C150" s="13"/>
      <c r="D150" s="1">
        <f>SUM(OSRRefD22_4x_0)</f>
        <v>3823.93</v>
      </c>
      <c r="E150" s="1"/>
      <c r="F150" s="5">
        <f t="shared" ref="F150:F154" si="41">IF(D$12=0,0,D150/D$12)</f>
        <v>2.0794131771192707E-2</v>
      </c>
      <c r="G150" s="1"/>
      <c r="H150" s="1">
        <f>SUM(OSRRefH22_4x_0)</f>
        <v>16373</v>
      </c>
      <c r="I150" s="1"/>
      <c r="J150" s="5">
        <f t="shared" ref="J150:J154" si="42">IF(H$12=0,0,H150/H$12)</f>
        <v>3.9723996710087368E-2</v>
      </c>
      <c r="K150" s="1"/>
      <c r="L150" s="1">
        <f t="shared" ref="L150:L154" si="43">+D150-H150</f>
        <v>-12549.07</v>
      </c>
      <c r="M150" s="1"/>
      <c r="N150" s="5">
        <f t="shared" ref="N150:N154" si="44">IF(H150=0,0,L150/H150)</f>
        <v>-0.76644903194283265</v>
      </c>
      <c r="O150" s="13"/>
      <c r="P150" s="1">
        <f>SUM(OSRRefP22_4x_0)</f>
        <v>69325.009999999995</v>
      </c>
      <c r="Q150" s="1"/>
      <c r="R150" s="5">
        <f t="shared" ref="R150:R154" si="45">IF(P$12=0,0,P150/P$12)</f>
        <v>1.6257550194589764E-2</v>
      </c>
      <c r="S150" s="1"/>
      <c r="T150" s="1">
        <f>SUM(OSRRefT22_4x_0)</f>
        <v>168731</v>
      </c>
      <c r="U150" s="1"/>
      <c r="V150" s="5">
        <f t="shared" ref="V150:V154" si="46">IF(T$12=0,0,T150/T$12)</f>
        <v>2.185933157195296E-2</v>
      </c>
      <c r="W150" s="1"/>
      <c r="X150" s="1">
        <f t="shared" ref="X150:X154" si="47">+P150-T150</f>
        <v>-99405.99</v>
      </c>
      <c r="Y150" s="1"/>
      <c r="Z150" s="5">
        <f t="shared" ref="Z150:Z154" si="48">IF(T150=0,0,X150/T150)</f>
        <v>-0.58913886600565402</v>
      </c>
    </row>
    <row r="151" spans="1:26" s="24" customFormat="1" hidden="1" outlineLevel="2" x14ac:dyDescent="0.25">
      <c r="A151" s="26"/>
      <c r="B151" s="11" t="str">
        <f>CONCATENATE("          ", "6381", " - ", "BANK/CREDIT CARD FEES")</f>
        <v xml:space="preserve">          6381 - BANK/CREDIT CARD FEES</v>
      </c>
      <c r="C151" s="11"/>
      <c r="D151" s="7">
        <v>3823.93</v>
      </c>
      <c r="E151" s="2"/>
      <c r="F151" s="6">
        <f t="shared" si="41"/>
        <v>2.0794131771192707E-2</v>
      </c>
      <c r="G151" s="2"/>
      <c r="H151" s="7">
        <v>16373</v>
      </c>
      <c r="I151" s="2"/>
      <c r="J151" s="6">
        <f t="shared" si="42"/>
        <v>3.9723996710087368E-2</v>
      </c>
      <c r="K151" s="2"/>
      <c r="L151" s="7">
        <f t="shared" si="43"/>
        <v>-12549.07</v>
      </c>
      <c r="M151" s="2"/>
      <c r="N151" s="6">
        <f t="shared" si="44"/>
        <v>-0.76644903194283265</v>
      </c>
      <c r="O151" s="11"/>
      <c r="P151" s="7">
        <v>69325.009999999995</v>
      </c>
      <c r="Q151" s="2"/>
      <c r="R151" s="6">
        <f t="shared" si="45"/>
        <v>1.6257550194589764E-2</v>
      </c>
      <c r="S151" s="2"/>
      <c r="T151" s="7">
        <v>168731</v>
      </c>
      <c r="U151" s="2"/>
      <c r="V151" s="6">
        <f t="shared" si="46"/>
        <v>2.185933157195296E-2</v>
      </c>
      <c r="W151" s="2"/>
      <c r="X151" s="7">
        <f t="shared" si="47"/>
        <v>-99405.99</v>
      </c>
      <c r="Y151" s="2"/>
      <c r="Z151" s="6">
        <f t="shared" si="48"/>
        <v>-0.58913886600565402</v>
      </c>
    </row>
    <row r="152" spans="1:26" s="25" customFormat="1" outlineLevel="1" collapsed="1" x14ac:dyDescent="0.25">
      <c r="A152" s="27"/>
      <c r="B152" s="13" t="str">
        <f>CONCATENATE("     ","Depreciation                                      ")</f>
        <v xml:space="preserve">     Depreciation                                      </v>
      </c>
      <c r="C152" s="13"/>
      <c r="D152" s="1">
        <f>SUM(OSRRefD22_5x_0)</f>
        <v>30735.85</v>
      </c>
      <c r="E152" s="1"/>
      <c r="F152" s="5">
        <f t="shared" si="41"/>
        <v>0.16713834065990052</v>
      </c>
      <c r="G152" s="1"/>
      <c r="H152" s="1">
        <f>SUM(OSRRefH22_5x_0)</f>
        <v>30294</v>
      </c>
      <c r="I152" s="1"/>
      <c r="J152" s="5">
        <f t="shared" si="42"/>
        <v>7.3498977361228041E-2</v>
      </c>
      <c r="K152" s="1"/>
      <c r="L152" s="1">
        <f t="shared" si="43"/>
        <v>441.84999999999854</v>
      </c>
      <c r="M152" s="1"/>
      <c r="N152" s="5">
        <f t="shared" si="44"/>
        <v>1.4585396448141498E-2</v>
      </c>
      <c r="O152" s="13"/>
      <c r="P152" s="1">
        <f>SUM(OSRRefP22_5x_0)</f>
        <v>276918.14</v>
      </c>
      <c r="Q152" s="1"/>
      <c r="R152" s="5">
        <f t="shared" si="45"/>
        <v>6.4940640626556495E-2</v>
      </c>
      <c r="S152" s="1"/>
      <c r="T152" s="1">
        <f>SUM(OSRRefT22_5x_0)</f>
        <v>273654</v>
      </c>
      <c r="U152" s="1"/>
      <c r="V152" s="5">
        <f t="shared" si="46"/>
        <v>3.5452249568788279E-2</v>
      </c>
      <c r="W152" s="1"/>
      <c r="X152" s="1">
        <f t="shared" si="47"/>
        <v>3264.140000000014</v>
      </c>
      <c r="Y152" s="1"/>
      <c r="Z152" s="5">
        <f t="shared" si="48"/>
        <v>1.1927982050326375E-2</v>
      </c>
    </row>
    <row r="153" spans="1:26" s="24" customFormat="1" hidden="1" outlineLevel="2" x14ac:dyDescent="0.25">
      <c r="A153" s="26"/>
      <c r="B153" s="11" t="str">
        <f>CONCATENATE("          ", "6321", " - ", "BUILDING DEPRECIATION")</f>
        <v xml:space="preserve">          6321 - BUILDING DEPRECIATION</v>
      </c>
      <c r="C153" s="11"/>
      <c r="D153" s="7">
        <v>16396.52</v>
      </c>
      <c r="E153" s="2"/>
      <c r="F153" s="6">
        <f t="shared" si="41"/>
        <v>8.9162562460347511E-2</v>
      </c>
      <c r="G153" s="2"/>
      <c r="H153" s="7"/>
      <c r="I153" s="2"/>
      <c r="J153" s="6">
        <f t="shared" si="42"/>
        <v>0</v>
      </c>
      <c r="K153" s="2"/>
      <c r="L153" s="7">
        <f t="shared" si="43"/>
        <v>16396.52</v>
      </c>
      <c r="M153" s="2"/>
      <c r="N153" s="6">
        <f t="shared" si="44"/>
        <v>0</v>
      </c>
      <c r="O153" s="11"/>
      <c r="P153" s="7">
        <v>147568.68</v>
      </c>
      <c r="Q153" s="2"/>
      <c r="R153" s="6">
        <f t="shared" si="45"/>
        <v>3.4606633626873683E-2</v>
      </c>
      <c r="S153" s="2"/>
      <c r="T153" s="7"/>
      <c r="U153" s="2"/>
      <c r="V153" s="6">
        <f t="shared" si="46"/>
        <v>0</v>
      </c>
      <c r="W153" s="2"/>
      <c r="X153" s="7">
        <f t="shared" si="47"/>
        <v>147568.68</v>
      </c>
      <c r="Y153" s="2"/>
      <c r="Z153" s="6">
        <f t="shared" si="48"/>
        <v>0</v>
      </c>
    </row>
    <row r="154" spans="1:26" s="24" customFormat="1" hidden="1" outlineLevel="2" x14ac:dyDescent="0.25">
      <c r="A154" s="26"/>
      <c r="B154" s="11" t="str">
        <f>CONCATENATE("          ", "6322", " - ", "EQUIPMENT DEPRECIATION EXPENSE")</f>
        <v xml:space="preserve">          6322 - EQUIPMENT DEPRECIATION EXPENSE</v>
      </c>
      <c r="C154" s="11"/>
      <c r="D154" s="7">
        <v>14339.33</v>
      </c>
      <c r="E154" s="2"/>
      <c r="F154" s="6">
        <f t="shared" si="41"/>
        <v>7.7975778199553009E-2</v>
      </c>
      <c r="G154" s="2"/>
      <c r="H154" s="7">
        <v>30294</v>
      </c>
      <c r="I154" s="2"/>
      <c r="J154" s="6">
        <f t="shared" si="42"/>
        <v>7.3498977361228041E-2</v>
      </c>
      <c r="K154" s="2"/>
      <c r="L154" s="7">
        <f t="shared" si="43"/>
        <v>-15954.67</v>
      </c>
      <c r="M154" s="2"/>
      <c r="N154" s="6">
        <f t="shared" si="44"/>
        <v>-0.52666105499438831</v>
      </c>
      <c r="O154" s="11"/>
      <c r="P154" s="7">
        <v>129349.46</v>
      </c>
      <c r="Q154" s="2"/>
      <c r="R154" s="6">
        <f t="shared" si="45"/>
        <v>3.0334006999682812E-2</v>
      </c>
      <c r="S154" s="2"/>
      <c r="T154" s="7">
        <v>273654</v>
      </c>
      <c r="U154" s="2"/>
      <c r="V154" s="6">
        <f t="shared" si="46"/>
        <v>3.5452249568788279E-2</v>
      </c>
      <c r="W154" s="2"/>
      <c r="X154" s="7">
        <f t="shared" si="47"/>
        <v>-144304.53999999998</v>
      </c>
      <c r="Y154" s="2"/>
      <c r="Z154" s="6">
        <f t="shared" si="48"/>
        <v>-0.52732479700643875</v>
      </c>
    </row>
    <row r="155" spans="1:26" s="25" customFormat="1" outlineLevel="1" collapsed="1" x14ac:dyDescent="0.25">
      <c r="A155" s="27"/>
      <c r="B155" s="13" t="str">
        <f>CONCATENATE("     ","Discounts and Markdowns                           ")</f>
        <v xml:space="preserve">     Discounts and Markdowns                           </v>
      </c>
      <c r="C155" s="13"/>
      <c r="D155" s="1">
        <f>SUM(OSRRefD22_6x_0)</f>
        <v>0</v>
      </c>
      <c r="E155" s="1"/>
      <c r="F155" s="5">
        <f t="shared" ref="F155:F157" si="49">IF(D$12=0,0,D155/D$12)</f>
        <v>0</v>
      </c>
      <c r="G155" s="1"/>
      <c r="H155" s="1">
        <f>SUM(OSRRefH22_6x_0)</f>
        <v>28762</v>
      </c>
      <c r="I155" s="1"/>
      <c r="J155" s="5">
        <f t="shared" ref="J155:J157" si="50">IF(H$12=0,0,H155/H$12)</f>
        <v>6.9782055419015013E-2</v>
      </c>
      <c r="K155" s="1"/>
      <c r="L155" s="1">
        <f t="shared" ref="L155:L157" si="51">+D155-H155</f>
        <v>-28762</v>
      </c>
      <c r="M155" s="1"/>
      <c r="N155" s="5">
        <f t="shared" ref="N155:N157" si="52">IF(H155=0,0,L155/H155)</f>
        <v>-1</v>
      </c>
      <c r="O155" s="13"/>
      <c r="P155" s="1">
        <f>SUM(OSRRefP22_6x_0)</f>
        <v>0</v>
      </c>
      <c r="Q155" s="1"/>
      <c r="R155" s="5">
        <f t="shared" ref="R155:R157" si="53">IF(P$12=0,0,P155/P$12)</f>
        <v>0</v>
      </c>
      <c r="S155" s="1"/>
      <c r="T155" s="1">
        <f>SUM(OSRRefT22_6x_0)</f>
        <v>248620</v>
      </c>
      <c r="U155" s="1"/>
      <c r="V155" s="5">
        <f t="shared" ref="V155:V157" si="54">IF(T$12=0,0,T155/T$12)</f>
        <v>3.2209060667091075E-2</v>
      </c>
      <c r="W155" s="1"/>
      <c r="X155" s="1">
        <f t="shared" ref="X155:X157" si="55">+P155-T155</f>
        <v>-248620</v>
      </c>
      <c r="Y155" s="1"/>
      <c r="Z155" s="5">
        <f t="shared" ref="Z155:Z157" si="56">IF(T155=0,0,X155/T155)</f>
        <v>-1</v>
      </c>
    </row>
    <row r="156" spans="1:26" s="24" customFormat="1" hidden="1" outlineLevel="2" x14ac:dyDescent="0.25">
      <c r="A156" s="26"/>
      <c r="B156" s="11" t="str">
        <f>CONCATENATE("          ", "6382", " - ", "DISCOUNTS/MARK DOWNS")</f>
        <v xml:space="preserve">          6382 - DISCOUNTS/MARK DOWNS</v>
      </c>
      <c r="C156" s="11"/>
      <c r="D156" s="7">
        <v>0</v>
      </c>
      <c r="E156" s="2"/>
      <c r="F156" s="6">
        <f t="shared" si="49"/>
        <v>0</v>
      </c>
      <c r="G156" s="2"/>
      <c r="H156" s="7">
        <v>28762</v>
      </c>
      <c r="I156" s="2"/>
      <c r="J156" s="6">
        <f t="shared" si="50"/>
        <v>6.9782055419015013E-2</v>
      </c>
      <c r="K156" s="2"/>
      <c r="L156" s="7">
        <f t="shared" si="51"/>
        <v>-28762</v>
      </c>
      <c r="M156" s="2"/>
      <c r="N156" s="6">
        <f t="shared" si="52"/>
        <v>-1</v>
      </c>
      <c r="O156" s="11"/>
      <c r="P156" s="7">
        <v>0</v>
      </c>
      <c r="Q156" s="2"/>
      <c r="R156" s="6">
        <f t="shared" si="53"/>
        <v>0</v>
      </c>
      <c r="S156" s="2"/>
      <c r="T156" s="7">
        <v>248620</v>
      </c>
      <c r="U156" s="2"/>
      <c r="V156" s="6">
        <f t="shared" si="54"/>
        <v>3.2209060667091075E-2</v>
      </c>
      <c r="W156" s="2"/>
      <c r="X156" s="7">
        <f t="shared" si="55"/>
        <v>-248620</v>
      </c>
      <c r="Y156" s="2"/>
      <c r="Z156" s="6">
        <f t="shared" si="56"/>
        <v>-1</v>
      </c>
    </row>
    <row r="157" spans="1:26" s="24" customFormat="1" hidden="1" outlineLevel="2" x14ac:dyDescent="0.25">
      <c r="A157" s="26"/>
      <c r="B157" s="11" t="str">
        <f>CONCATENATE("          ", "9175", " - ", "EARNED DISCOUNTS")</f>
        <v xml:space="preserve">          9175 - EARNED DISCOUNTS</v>
      </c>
      <c r="C157" s="11"/>
      <c r="D157" s="7">
        <v>0</v>
      </c>
      <c r="E157" s="2"/>
      <c r="F157" s="6">
        <f t="shared" si="49"/>
        <v>0</v>
      </c>
      <c r="G157" s="2"/>
      <c r="H157" s="7"/>
      <c r="I157" s="2"/>
      <c r="J157" s="6">
        <f t="shared" si="50"/>
        <v>0</v>
      </c>
      <c r="K157" s="2"/>
      <c r="L157" s="7">
        <f t="shared" si="51"/>
        <v>0</v>
      </c>
      <c r="M157" s="2"/>
      <c r="N157" s="6">
        <f t="shared" si="52"/>
        <v>0</v>
      </c>
      <c r="O157" s="11"/>
      <c r="P157" s="7">
        <v>0</v>
      </c>
      <c r="Q157" s="2"/>
      <c r="R157" s="6">
        <f t="shared" si="53"/>
        <v>0</v>
      </c>
      <c r="S157" s="2"/>
      <c r="T157" s="7"/>
      <c r="U157" s="2"/>
      <c r="V157" s="6">
        <f t="shared" si="54"/>
        <v>0</v>
      </c>
      <c r="W157" s="2"/>
      <c r="X157" s="7">
        <f t="shared" si="55"/>
        <v>0</v>
      </c>
      <c r="Y157" s="2"/>
      <c r="Z157" s="6">
        <f t="shared" si="56"/>
        <v>0</v>
      </c>
    </row>
    <row r="158" spans="1:26" s="25" customFormat="1" outlineLevel="1" collapsed="1" x14ac:dyDescent="0.25">
      <c r="A158" s="27"/>
      <c r="B158" s="13" t="str">
        <f>CONCATENATE("     ","Donations                                         ")</f>
        <v xml:space="preserve">     Donations                                         </v>
      </c>
      <c r="C158" s="13"/>
      <c r="D158" s="1">
        <f>SUM(OSRRefD22_7x_0)</f>
        <v>0</v>
      </c>
      <c r="E158" s="1"/>
      <c r="F158" s="5">
        <f t="shared" ref="F158:F160" si="57">IF(D$12=0,0,D158/D$12)</f>
        <v>0</v>
      </c>
      <c r="G158" s="1"/>
      <c r="H158" s="1">
        <f>SUM(OSRRefH22_7x_0)</f>
        <v>1000</v>
      </c>
      <c r="I158" s="1"/>
      <c r="J158" s="5">
        <f t="shared" ref="J158:J160" si="58">IF(H$12=0,0,H158/H$12)</f>
        <v>2.4261892573192063E-3</v>
      </c>
      <c r="K158" s="1"/>
      <c r="L158" s="1">
        <f t="shared" ref="L158:L160" si="59">+D158-H158</f>
        <v>-1000</v>
      </c>
      <c r="M158" s="1"/>
      <c r="N158" s="5">
        <f t="shared" ref="N158:N160" si="60">IF(H158=0,0,L158/H158)</f>
        <v>-1</v>
      </c>
      <c r="O158" s="13"/>
      <c r="P158" s="1">
        <f>SUM(OSRRefP22_7x_0)</f>
        <v>0</v>
      </c>
      <c r="Q158" s="1"/>
      <c r="R158" s="5">
        <f t="shared" ref="R158:R160" si="61">IF(P$12=0,0,P158/P$12)</f>
        <v>0</v>
      </c>
      <c r="S158" s="1"/>
      <c r="T158" s="1">
        <f>SUM(OSRRefT22_7x_0)</f>
        <v>9000</v>
      </c>
      <c r="U158" s="1"/>
      <c r="V158" s="5">
        <f t="shared" ref="V158:V160" si="62">IF(T$12=0,0,T158/T$12)</f>
        <v>1.1659622958885838E-3</v>
      </c>
      <c r="W158" s="1"/>
      <c r="X158" s="1">
        <f t="shared" ref="X158:X160" si="63">+P158-T158</f>
        <v>-9000</v>
      </c>
      <c r="Y158" s="1"/>
      <c r="Z158" s="5">
        <f t="shared" ref="Z158:Z160" si="64">IF(T158=0,0,X158/T158)</f>
        <v>-1</v>
      </c>
    </row>
    <row r="159" spans="1:26" s="24" customFormat="1" hidden="1" outlineLevel="2" x14ac:dyDescent="0.25">
      <c r="A159" s="26"/>
      <c r="B159" s="11" t="str">
        <f>CONCATENATE("          ", "6395", " - ", "DONATION-OFF CAMPUS")</f>
        <v xml:space="preserve">          6395 - DONATION-OFF CAMPUS</v>
      </c>
      <c r="C159" s="11"/>
      <c r="D159" s="7"/>
      <c r="E159" s="2"/>
      <c r="F159" s="6">
        <f t="shared" si="57"/>
        <v>0</v>
      </c>
      <c r="G159" s="2"/>
      <c r="H159" s="7"/>
      <c r="I159" s="2"/>
      <c r="J159" s="6">
        <f t="shared" si="58"/>
        <v>0</v>
      </c>
      <c r="K159" s="2"/>
      <c r="L159" s="7">
        <f t="shared" si="59"/>
        <v>0</v>
      </c>
      <c r="M159" s="2"/>
      <c r="N159" s="6">
        <f t="shared" si="60"/>
        <v>0</v>
      </c>
      <c r="O159" s="11"/>
      <c r="P159" s="7"/>
      <c r="Q159" s="2"/>
      <c r="R159" s="6">
        <f t="shared" si="61"/>
        <v>0</v>
      </c>
      <c r="S159" s="2"/>
      <c r="T159" s="7">
        <v>0</v>
      </c>
      <c r="U159" s="2"/>
      <c r="V159" s="6">
        <f t="shared" si="62"/>
        <v>0</v>
      </c>
      <c r="W159" s="2"/>
      <c r="X159" s="7">
        <f t="shared" si="63"/>
        <v>0</v>
      </c>
      <c r="Y159" s="2"/>
      <c r="Z159" s="6">
        <f t="shared" si="64"/>
        <v>0</v>
      </c>
    </row>
    <row r="160" spans="1:26" s="24" customFormat="1" hidden="1" outlineLevel="2" x14ac:dyDescent="0.25">
      <c r="A160" s="26"/>
      <c r="B160" s="11" t="str">
        <f>CONCATENATE("          ", "6399", " - ", "DONATION-ON CAMPUS")</f>
        <v xml:space="preserve">          6399 - DONATION-ON CAMPUS</v>
      </c>
      <c r="C160" s="11"/>
      <c r="D160" s="7"/>
      <c r="E160" s="2"/>
      <c r="F160" s="6">
        <f t="shared" si="57"/>
        <v>0</v>
      </c>
      <c r="G160" s="2"/>
      <c r="H160" s="7">
        <v>1000</v>
      </c>
      <c r="I160" s="2"/>
      <c r="J160" s="6">
        <f t="shared" si="58"/>
        <v>2.4261892573192063E-3</v>
      </c>
      <c r="K160" s="2"/>
      <c r="L160" s="7">
        <f t="shared" si="59"/>
        <v>-1000</v>
      </c>
      <c r="M160" s="2"/>
      <c r="N160" s="6">
        <f t="shared" si="60"/>
        <v>-1</v>
      </c>
      <c r="O160" s="11"/>
      <c r="P160" s="7"/>
      <c r="Q160" s="2"/>
      <c r="R160" s="6">
        <f t="shared" si="61"/>
        <v>0</v>
      </c>
      <c r="S160" s="2"/>
      <c r="T160" s="7">
        <v>9000</v>
      </c>
      <c r="U160" s="2"/>
      <c r="V160" s="6">
        <f t="shared" si="62"/>
        <v>1.1659622958885838E-3</v>
      </c>
      <c r="W160" s="2"/>
      <c r="X160" s="7">
        <f t="shared" si="63"/>
        <v>-9000</v>
      </c>
      <c r="Y160" s="2"/>
      <c r="Z160" s="6">
        <f t="shared" si="64"/>
        <v>-1</v>
      </c>
    </row>
    <row r="161" spans="1:26" s="25" customFormat="1" outlineLevel="1" collapsed="1" x14ac:dyDescent="0.25">
      <c r="A161" s="27"/>
      <c r="B161" s="13" t="str">
        <f>CONCATENATE("     ","Employees' Appreciation                           ")</f>
        <v xml:space="preserve">     Employees' Appreciation                           </v>
      </c>
      <c r="C161" s="13"/>
      <c r="D161" s="1">
        <f>SUM(OSRRefD22_8x_0)</f>
        <v>0</v>
      </c>
      <c r="E161" s="1"/>
      <c r="F161" s="5">
        <f t="shared" ref="F161:F167" si="65">IF(D$12=0,0,D161/D$12)</f>
        <v>0</v>
      </c>
      <c r="G161" s="1"/>
      <c r="H161" s="1">
        <f>SUM(OSRRefH22_8x_0)</f>
        <v>400</v>
      </c>
      <c r="I161" s="1"/>
      <c r="J161" s="5">
        <f t="shared" ref="J161:J167" si="66">IF(H$12=0,0,H161/H$12)</f>
        <v>9.7047570292768258E-4</v>
      </c>
      <c r="K161" s="1"/>
      <c r="L161" s="1">
        <f t="shared" ref="L161:L167" si="67">+D161-H161</f>
        <v>-400</v>
      </c>
      <c r="M161" s="1"/>
      <c r="N161" s="5">
        <f t="shared" ref="N161:N167" si="68">IF(H161=0,0,L161/H161)</f>
        <v>-1</v>
      </c>
      <c r="O161" s="13"/>
      <c r="P161" s="1">
        <f>SUM(OSRRefP22_8x_0)</f>
        <v>186.03</v>
      </c>
      <c r="Q161" s="1"/>
      <c r="R161" s="5">
        <f t="shared" ref="R161:R167" si="69">IF(P$12=0,0,P161/P$12)</f>
        <v>4.362627661646978E-5</v>
      </c>
      <c r="S161" s="1"/>
      <c r="T161" s="1">
        <f>SUM(OSRRefT22_8x_0)</f>
        <v>3700</v>
      </c>
      <c r="U161" s="1"/>
      <c r="V161" s="5">
        <f t="shared" ref="V161:V167" si="70">IF(T$12=0,0,T161/T$12)</f>
        <v>4.7934005497641776E-4</v>
      </c>
      <c r="W161" s="1"/>
      <c r="X161" s="1">
        <f t="shared" ref="X161:X167" si="71">+P161-T161</f>
        <v>-3513.97</v>
      </c>
      <c r="Y161" s="1"/>
      <c r="Z161" s="5">
        <f t="shared" ref="Z161:Z167" si="72">IF(T161=0,0,X161/T161)</f>
        <v>-0.94972162162162155</v>
      </c>
    </row>
    <row r="162" spans="1:26" s="24" customFormat="1" hidden="1" outlineLevel="2" x14ac:dyDescent="0.25">
      <c r="A162" s="26"/>
      <c r="B162" s="11" t="str">
        <f>CONCATENATE("          ", "6277", " - ", "EMPLOYEE APPRECIATION")</f>
        <v xml:space="preserve">          6277 - EMPLOYEE APPRECIATION</v>
      </c>
      <c r="C162" s="11"/>
      <c r="D162" s="7"/>
      <c r="E162" s="2"/>
      <c r="F162" s="6">
        <f t="shared" si="65"/>
        <v>0</v>
      </c>
      <c r="G162" s="2"/>
      <c r="H162" s="7">
        <v>400</v>
      </c>
      <c r="I162" s="2"/>
      <c r="J162" s="6">
        <f t="shared" si="66"/>
        <v>9.7047570292768258E-4</v>
      </c>
      <c r="K162" s="2"/>
      <c r="L162" s="7">
        <f t="shared" si="67"/>
        <v>-400</v>
      </c>
      <c r="M162" s="2"/>
      <c r="N162" s="6">
        <f t="shared" si="68"/>
        <v>-1</v>
      </c>
      <c r="O162" s="11"/>
      <c r="P162" s="7">
        <v>186.03</v>
      </c>
      <c r="Q162" s="2"/>
      <c r="R162" s="6">
        <f t="shared" si="69"/>
        <v>4.362627661646978E-5</v>
      </c>
      <c r="S162" s="2"/>
      <c r="T162" s="7">
        <v>3700</v>
      </c>
      <c r="U162" s="2"/>
      <c r="V162" s="6">
        <f t="shared" si="70"/>
        <v>4.7934005497641776E-4</v>
      </c>
      <c r="W162" s="2"/>
      <c r="X162" s="7">
        <f t="shared" si="71"/>
        <v>-3513.97</v>
      </c>
      <c r="Y162" s="2"/>
      <c r="Z162" s="6">
        <f t="shared" si="72"/>
        <v>-0.94972162162162155</v>
      </c>
    </row>
    <row r="163" spans="1:26" s="25" customFormat="1" outlineLevel="1" collapsed="1" x14ac:dyDescent="0.25">
      <c r="A163" s="27"/>
      <c r="B163" s="13" t="str">
        <f>CONCATENATE("     ","Equipment Rental                                  ")</f>
        <v xml:space="preserve">     Equipment Rental                                  </v>
      </c>
      <c r="C163" s="13"/>
      <c r="D163" s="1">
        <f>SUM(OSRRefD22_9x_0)</f>
        <v>1296.9000000000001</v>
      </c>
      <c r="E163" s="1"/>
      <c r="F163" s="5">
        <f t="shared" si="65"/>
        <v>7.0524066847614426E-3</v>
      </c>
      <c r="G163" s="1"/>
      <c r="H163" s="1">
        <f>SUM(OSRRefH22_9x_0)</f>
        <v>3006</v>
      </c>
      <c r="I163" s="1"/>
      <c r="J163" s="5">
        <f t="shared" si="66"/>
        <v>7.2931249075015346E-3</v>
      </c>
      <c r="K163" s="1"/>
      <c r="L163" s="1">
        <f t="shared" si="67"/>
        <v>-1709.1</v>
      </c>
      <c r="M163" s="1"/>
      <c r="N163" s="5">
        <f t="shared" si="68"/>
        <v>-0.56856287425149699</v>
      </c>
      <c r="O163" s="13"/>
      <c r="P163" s="1">
        <f>SUM(OSRRefP22_9x_0)</f>
        <v>13446.01</v>
      </c>
      <c r="Q163" s="1"/>
      <c r="R163" s="5">
        <f t="shared" si="69"/>
        <v>3.1532513661657736E-3</v>
      </c>
      <c r="S163" s="1"/>
      <c r="T163" s="1">
        <f>SUM(OSRRefT22_9x_0)</f>
        <v>27054</v>
      </c>
      <c r="U163" s="1"/>
      <c r="V163" s="5">
        <f t="shared" si="70"/>
        <v>3.5048826614410829E-3</v>
      </c>
      <c r="W163" s="1"/>
      <c r="X163" s="1">
        <f t="shared" si="71"/>
        <v>-13607.99</v>
      </c>
      <c r="Y163" s="1"/>
      <c r="Z163" s="5">
        <f t="shared" si="72"/>
        <v>-0.50299364234493971</v>
      </c>
    </row>
    <row r="164" spans="1:26" s="24" customFormat="1" hidden="1" outlineLevel="2" x14ac:dyDescent="0.25">
      <c r="A164" s="26"/>
      <c r="B164" s="11" t="str">
        <f>CONCATENATE("          ", "6351", " - ", "EQUIPMENT RENTAL")</f>
        <v xml:space="preserve">          6351 - EQUIPMENT RENTAL</v>
      </c>
      <c r="C164" s="11"/>
      <c r="D164" s="7">
        <v>1296.9000000000001</v>
      </c>
      <c r="E164" s="2"/>
      <c r="F164" s="6">
        <f t="shared" si="65"/>
        <v>7.0524066847614426E-3</v>
      </c>
      <c r="G164" s="2"/>
      <c r="H164" s="7">
        <v>3006</v>
      </c>
      <c r="I164" s="2"/>
      <c r="J164" s="6">
        <f t="shared" si="66"/>
        <v>7.2931249075015346E-3</v>
      </c>
      <c r="K164" s="2"/>
      <c r="L164" s="7">
        <f t="shared" si="67"/>
        <v>-1709.1</v>
      </c>
      <c r="M164" s="2"/>
      <c r="N164" s="6">
        <f t="shared" si="68"/>
        <v>-0.56856287425149699</v>
      </c>
      <c r="O164" s="11"/>
      <c r="P164" s="7">
        <v>13446.01</v>
      </c>
      <c r="Q164" s="2"/>
      <c r="R164" s="6">
        <f t="shared" si="69"/>
        <v>3.1532513661657736E-3</v>
      </c>
      <c r="S164" s="2"/>
      <c r="T164" s="7">
        <v>27054</v>
      </c>
      <c r="U164" s="2"/>
      <c r="V164" s="6">
        <f t="shared" si="70"/>
        <v>3.5048826614410829E-3</v>
      </c>
      <c r="W164" s="2"/>
      <c r="X164" s="7">
        <f t="shared" si="71"/>
        <v>-13607.99</v>
      </c>
      <c r="Y164" s="2"/>
      <c r="Z164" s="6">
        <f t="shared" si="72"/>
        <v>-0.50299364234493971</v>
      </c>
    </row>
    <row r="165" spans="1:26" s="25" customFormat="1" outlineLevel="1" collapsed="1" x14ac:dyDescent="0.25">
      <c r="A165" s="27"/>
      <c r="B165" s="13" t="str">
        <f>CONCATENATE("     ","Freight out/Postage                               ")</f>
        <v xml:space="preserve">     Freight out/Postage                               </v>
      </c>
      <c r="C165" s="13"/>
      <c r="D165" s="1">
        <f>SUM(OSRRefD22_10x_0)</f>
        <v>-1852.75</v>
      </c>
      <c r="E165" s="1"/>
      <c r="F165" s="5">
        <f t="shared" si="65"/>
        <v>-1.0075060903070216E-2</v>
      </c>
      <c r="G165" s="1"/>
      <c r="H165" s="1">
        <f>SUM(OSRRefH22_10x_0)</f>
        <v>-12732</v>
      </c>
      <c r="I165" s="1"/>
      <c r="J165" s="5">
        <f t="shared" si="66"/>
        <v>-3.0890241624188138E-2</v>
      </c>
      <c r="K165" s="1"/>
      <c r="L165" s="1">
        <f t="shared" si="67"/>
        <v>10879.25</v>
      </c>
      <c r="M165" s="1"/>
      <c r="N165" s="5">
        <f t="shared" si="68"/>
        <v>-0.85448083568960098</v>
      </c>
      <c r="O165" s="13"/>
      <c r="P165" s="1">
        <f>SUM(OSRRefP22_10x_0)</f>
        <v>-34506.649999999994</v>
      </c>
      <c r="Q165" s="1"/>
      <c r="R165" s="5">
        <f t="shared" si="69"/>
        <v>-8.0922252217798564E-3</v>
      </c>
      <c r="S165" s="1"/>
      <c r="T165" s="1">
        <f>SUM(OSRRefT22_10x_0)</f>
        <v>33621</v>
      </c>
      <c r="U165" s="1"/>
      <c r="V165" s="5">
        <f t="shared" si="70"/>
        <v>4.3556464833411192E-3</v>
      </c>
      <c r="W165" s="1"/>
      <c r="X165" s="1">
        <f t="shared" si="71"/>
        <v>-68127.649999999994</v>
      </c>
      <c r="Y165" s="1"/>
      <c r="Z165" s="5">
        <f t="shared" si="72"/>
        <v>-2.0263421670979445</v>
      </c>
    </row>
    <row r="166" spans="1:26" s="24" customFormat="1" hidden="1" outlineLevel="2" x14ac:dyDescent="0.25">
      <c r="A166" s="26"/>
      <c r="B166" s="11" t="str">
        <f>CONCATENATE("          ", "6305", " - ", "FREIGHT OUT")</f>
        <v xml:space="preserve">          6305 - FREIGHT OUT</v>
      </c>
      <c r="C166" s="11"/>
      <c r="D166" s="7">
        <v>17566.57</v>
      </c>
      <c r="E166" s="2"/>
      <c r="F166" s="6">
        <f t="shared" si="65"/>
        <v>9.5525172099876487E-2</v>
      </c>
      <c r="G166" s="2"/>
      <c r="H166" s="7">
        <v>7248</v>
      </c>
      <c r="I166" s="2"/>
      <c r="J166" s="6">
        <f t="shared" si="66"/>
        <v>1.7585019737049609E-2</v>
      </c>
      <c r="K166" s="2"/>
      <c r="L166" s="7">
        <f t="shared" si="67"/>
        <v>10318.57</v>
      </c>
      <c r="M166" s="2"/>
      <c r="N166" s="6">
        <f t="shared" si="68"/>
        <v>1.4236437637969095</v>
      </c>
      <c r="O166" s="11"/>
      <c r="P166" s="7">
        <v>179233.79</v>
      </c>
      <c r="Q166" s="2"/>
      <c r="R166" s="6">
        <f t="shared" si="69"/>
        <v>4.2032483478784362E-2</v>
      </c>
      <c r="S166" s="2"/>
      <c r="T166" s="7">
        <v>55891</v>
      </c>
      <c r="U166" s="2"/>
      <c r="V166" s="6">
        <f t="shared" si="70"/>
        <v>7.2407554088343151E-3</v>
      </c>
      <c r="W166" s="2"/>
      <c r="X166" s="7">
        <f t="shared" si="71"/>
        <v>123342.79000000001</v>
      </c>
      <c r="Y166" s="2"/>
      <c r="Z166" s="6">
        <f t="shared" si="72"/>
        <v>2.2068452881501495</v>
      </c>
    </row>
    <row r="167" spans="1:26" s="24" customFormat="1" hidden="1" outlineLevel="2" x14ac:dyDescent="0.25">
      <c r="A167" s="26"/>
      <c r="B167" s="11" t="str">
        <f>CONCATENATE("          ", "6307", " - ", "POSTAGE")</f>
        <v xml:space="preserve">          6307 - POSTAGE</v>
      </c>
      <c r="C167" s="11"/>
      <c r="D167" s="7">
        <v>-19419.32</v>
      </c>
      <c r="E167" s="2"/>
      <c r="F167" s="6">
        <f t="shared" si="65"/>
        <v>-0.1056002330029467</v>
      </c>
      <c r="G167" s="2"/>
      <c r="H167" s="7">
        <v>-19980</v>
      </c>
      <c r="I167" s="2"/>
      <c r="J167" s="6">
        <f t="shared" si="66"/>
        <v>-4.8475261361237747E-2</v>
      </c>
      <c r="K167" s="2"/>
      <c r="L167" s="7">
        <f t="shared" si="67"/>
        <v>560.68000000000029</v>
      </c>
      <c r="M167" s="2"/>
      <c r="N167" s="6">
        <f t="shared" si="68"/>
        <v>-2.8062062062062076E-2</v>
      </c>
      <c r="O167" s="11"/>
      <c r="P167" s="7">
        <v>-213740.44</v>
      </c>
      <c r="Q167" s="2"/>
      <c r="R167" s="6">
        <f t="shared" si="69"/>
        <v>-5.0124708700564222E-2</v>
      </c>
      <c r="S167" s="2"/>
      <c r="T167" s="7">
        <v>-22270</v>
      </c>
      <c r="U167" s="2"/>
      <c r="V167" s="6">
        <f t="shared" si="70"/>
        <v>-2.8851089254931955E-3</v>
      </c>
      <c r="W167" s="2"/>
      <c r="X167" s="7">
        <f t="shared" si="71"/>
        <v>-191470.44</v>
      </c>
      <c r="Y167" s="2"/>
      <c r="Z167" s="6">
        <f t="shared" si="72"/>
        <v>8.5976847777278849</v>
      </c>
    </row>
    <row r="168" spans="1:26" s="25" customFormat="1" outlineLevel="1" collapsed="1" x14ac:dyDescent="0.25">
      <c r="A168" s="27"/>
      <c r="B168" s="13" t="str">
        <f>CONCATENATE("     ","General                                           ")</f>
        <v xml:space="preserve">     General                                           </v>
      </c>
      <c r="C168" s="13"/>
      <c r="D168" s="1">
        <f>SUM(OSRRefD22_11x_0)</f>
        <v>0</v>
      </c>
      <c r="E168" s="1"/>
      <c r="F168" s="5">
        <f t="shared" ref="F168:F171" si="73">IF(D$12=0,0,D168/D$12)</f>
        <v>0</v>
      </c>
      <c r="G168" s="1"/>
      <c r="H168" s="1">
        <f>SUM(OSRRefH22_11x_0)</f>
        <v>550</v>
      </c>
      <c r="I168" s="1"/>
      <c r="J168" s="5">
        <f t="shared" ref="J168:J171" si="74">IF(H$12=0,0,H168/H$12)</f>
        <v>1.3344040915255636E-3</v>
      </c>
      <c r="K168" s="1"/>
      <c r="L168" s="1">
        <f t="shared" ref="L168:L171" si="75">+D168-H168</f>
        <v>-550</v>
      </c>
      <c r="M168" s="1"/>
      <c r="N168" s="5">
        <f t="shared" ref="N168:N171" si="76">IF(H168=0,0,L168/H168)</f>
        <v>-1</v>
      </c>
      <c r="O168" s="13"/>
      <c r="P168" s="1">
        <f>SUM(OSRRefP22_11x_0)</f>
        <v>2509.79</v>
      </c>
      <c r="Q168" s="1"/>
      <c r="R168" s="5">
        <f t="shared" ref="R168:R171" si="77">IF(P$12=0,0,P168/P$12)</f>
        <v>5.8857599736198297E-4</v>
      </c>
      <c r="S168" s="1"/>
      <c r="T168" s="1">
        <f>SUM(OSRRefT22_11x_0)</f>
        <v>9250</v>
      </c>
      <c r="U168" s="1"/>
      <c r="V168" s="5">
        <f t="shared" ref="V168:V171" si="78">IF(T$12=0,0,T168/T$12)</f>
        <v>1.1983501374410444E-3</v>
      </c>
      <c r="W168" s="1"/>
      <c r="X168" s="1">
        <f t="shared" ref="X168:X171" si="79">+P168-T168</f>
        <v>-6740.21</v>
      </c>
      <c r="Y168" s="1"/>
      <c r="Z168" s="5">
        <f t="shared" ref="Z168:Z171" si="80">IF(T168=0,0,X168/T168)</f>
        <v>-0.7286713513513513</v>
      </c>
    </row>
    <row r="169" spans="1:26" s="24" customFormat="1" hidden="1" outlineLevel="2" x14ac:dyDescent="0.25">
      <c r="A169" s="26"/>
      <c r="B169" s="11" t="str">
        <f>CONCATENATE("          ", "6269", " - ", "ENTERTAINMENT")</f>
        <v xml:space="preserve">          6269 - ENTERTAINMENT</v>
      </c>
      <c r="C169" s="11"/>
      <c r="D169" s="7"/>
      <c r="E169" s="2"/>
      <c r="F169" s="6">
        <f t="shared" si="73"/>
        <v>0</v>
      </c>
      <c r="G169" s="2"/>
      <c r="H169" s="7">
        <v>0</v>
      </c>
      <c r="I169" s="2"/>
      <c r="J169" s="6">
        <f t="shared" si="74"/>
        <v>0</v>
      </c>
      <c r="K169" s="2"/>
      <c r="L169" s="7">
        <f t="shared" si="75"/>
        <v>0</v>
      </c>
      <c r="M169" s="2"/>
      <c r="N169" s="6">
        <f t="shared" si="76"/>
        <v>0</v>
      </c>
      <c r="O169" s="11"/>
      <c r="P169" s="7"/>
      <c r="Q169" s="2"/>
      <c r="R169" s="6">
        <f t="shared" si="77"/>
        <v>0</v>
      </c>
      <c r="S169" s="2"/>
      <c r="T169" s="7">
        <v>1500</v>
      </c>
      <c r="U169" s="2"/>
      <c r="V169" s="6">
        <f t="shared" si="78"/>
        <v>1.9432704931476397E-4</v>
      </c>
      <c r="W169" s="2"/>
      <c r="X169" s="7">
        <f t="shared" si="79"/>
        <v>-1500</v>
      </c>
      <c r="Y169" s="2"/>
      <c r="Z169" s="6">
        <f t="shared" si="80"/>
        <v>-1</v>
      </c>
    </row>
    <row r="170" spans="1:26" s="24" customFormat="1" hidden="1" outlineLevel="2" x14ac:dyDescent="0.25">
      <c r="A170" s="26"/>
      <c r="B170" s="11" t="str">
        <f>CONCATENATE("          ", "6276", " - ", "PROPERTY TAX")</f>
        <v xml:space="preserve">          6276 - PROPERTY TAX</v>
      </c>
      <c r="C170" s="11"/>
      <c r="D170" s="7"/>
      <c r="E170" s="2"/>
      <c r="F170" s="6">
        <f t="shared" si="73"/>
        <v>0</v>
      </c>
      <c r="G170" s="2"/>
      <c r="H170" s="7"/>
      <c r="I170" s="2"/>
      <c r="J170" s="6">
        <f t="shared" si="74"/>
        <v>0</v>
      </c>
      <c r="K170" s="2"/>
      <c r="L170" s="7">
        <f t="shared" si="75"/>
        <v>0</v>
      </c>
      <c r="M170" s="2"/>
      <c r="N170" s="6">
        <f t="shared" si="76"/>
        <v>0</v>
      </c>
      <c r="O170" s="11"/>
      <c r="P170" s="7"/>
      <c r="Q170" s="2"/>
      <c r="R170" s="6">
        <f t="shared" si="77"/>
        <v>0</v>
      </c>
      <c r="S170" s="2"/>
      <c r="T170" s="7">
        <v>150</v>
      </c>
      <c r="U170" s="2"/>
      <c r="V170" s="6">
        <f t="shared" si="78"/>
        <v>1.9432704931476395E-5</v>
      </c>
      <c r="W170" s="2"/>
      <c r="X170" s="7">
        <f t="shared" si="79"/>
        <v>-150</v>
      </c>
      <c r="Y170" s="2"/>
      <c r="Z170" s="6">
        <f t="shared" si="80"/>
        <v>-1</v>
      </c>
    </row>
    <row r="171" spans="1:26" s="24" customFormat="1" hidden="1" outlineLevel="2" x14ac:dyDescent="0.25">
      <c r="A171" s="26"/>
      <c r="B171" s="11" t="str">
        <f>CONCATENATE("          ", "6279", " - ", "GENERAL EXPENSE")</f>
        <v xml:space="preserve">          6279 - GENERAL EXPENSE</v>
      </c>
      <c r="C171" s="11"/>
      <c r="D171" s="7">
        <v>0</v>
      </c>
      <c r="E171" s="2"/>
      <c r="F171" s="6">
        <f t="shared" si="73"/>
        <v>0</v>
      </c>
      <c r="G171" s="2"/>
      <c r="H171" s="7">
        <v>550</v>
      </c>
      <c r="I171" s="2"/>
      <c r="J171" s="6">
        <f t="shared" si="74"/>
        <v>1.3344040915255636E-3</v>
      </c>
      <c r="K171" s="2"/>
      <c r="L171" s="7">
        <f t="shared" si="75"/>
        <v>-550</v>
      </c>
      <c r="M171" s="2"/>
      <c r="N171" s="6">
        <f t="shared" si="76"/>
        <v>-1</v>
      </c>
      <c r="O171" s="11"/>
      <c r="P171" s="7">
        <v>2509.79</v>
      </c>
      <c r="Q171" s="2"/>
      <c r="R171" s="6">
        <f t="shared" si="77"/>
        <v>5.8857599736198297E-4</v>
      </c>
      <c r="S171" s="2"/>
      <c r="T171" s="7">
        <v>7600</v>
      </c>
      <c r="U171" s="2"/>
      <c r="V171" s="6">
        <f t="shared" si="78"/>
        <v>9.8459038319480404E-4</v>
      </c>
      <c r="W171" s="2"/>
      <c r="X171" s="7">
        <f t="shared" si="79"/>
        <v>-5090.21</v>
      </c>
      <c r="Y171" s="2"/>
      <c r="Z171" s="6">
        <f t="shared" si="80"/>
        <v>-0.66976447368421055</v>
      </c>
    </row>
    <row r="172" spans="1:26" s="25" customFormat="1" outlineLevel="1" collapsed="1" x14ac:dyDescent="0.25">
      <c r="A172" s="27"/>
      <c r="B172" s="13" t="str">
        <f>CONCATENATE("     ","Insurance                                         ")</f>
        <v xml:space="preserve">     Insurance                                         </v>
      </c>
      <c r="C172" s="13"/>
      <c r="D172" s="1">
        <f>SUM(OSRRefD22_12x_0)</f>
        <v>4044.74</v>
      </c>
      <c r="E172" s="1"/>
      <c r="F172" s="5">
        <f t="shared" ref="F172:F176" si="81">IF(D$12=0,0,D172/D$12)</f>
        <v>2.1994873478388462E-2</v>
      </c>
      <c r="G172" s="1"/>
      <c r="H172" s="1">
        <f>SUM(OSRRefH22_12x_0)</f>
        <v>4446</v>
      </c>
      <c r="I172" s="1"/>
      <c r="J172" s="5">
        <f t="shared" ref="J172:J176" si="82">IF(H$12=0,0,H172/H$12)</f>
        <v>1.0786837438041192E-2</v>
      </c>
      <c r="K172" s="1"/>
      <c r="L172" s="1">
        <f t="shared" ref="L172:L176" si="83">+D172-H172</f>
        <v>-401.26000000000022</v>
      </c>
      <c r="M172" s="1"/>
      <c r="N172" s="5">
        <f t="shared" ref="N172:N176" si="84">IF(H172=0,0,L172/H172)</f>
        <v>-9.0251911830859247E-2</v>
      </c>
      <c r="O172" s="13"/>
      <c r="P172" s="1">
        <f>SUM(OSRRefP22_12x_0)</f>
        <v>36402.660000000003</v>
      </c>
      <c r="Q172" s="1"/>
      <c r="R172" s="5">
        <f t="shared" ref="R172:R176" si="85">IF(P$12=0,0,P172/P$12)</f>
        <v>8.5368624132414125E-3</v>
      </c>
      <c r="S172" s="1"/>
      <c r="T172" s="1">
        <f>SUM(OSRRefT22_12x_0)</f>
        <v>40014</v>
      </c>
      <c r="U172" s="1"/>
      <c r="V172" s="5">
        <f t="shared" ref="V172:V176" si="86">IF(T$12=0,0,T172/T$12)</f>
        <v>5.1838683675206436E-3</v>
      </c>
      <c r="W172" s="1"/>
      <c r="X172" s="1">
        <f t="shared" ref="X172:X176" si="87">+P172-T172</f>
        <v>-3611.3399999999965</v>
      </c>
      <c r="Y172" s="1"/>
      <c r="Z172" s="5">
        <f t="shared" ref="Z172:Z176" si="88">IF(T172=0,0,X172/T172)</f>
        <v>-9.0251911830859108E-2</v>
      </c>
    </row>
    <row r="173" spans="1:26" s="24" customFormat="1" hidden="1" outlineLevel="2" x14ac:dyDescent="0.25">
      <c r="A173" s="26"/>
      <c r="B173" s="11" t="str">
        <f>CONCATENATE("          ", "6314", " - ", "LIABILITY INSURANCE")</f>
        <v xml:space="preserve">          6314 - LIABILITY INSURANCE</v>
      </c>
      <c r="C173" s="11"/>
      <c r="D173" s="7">
        <v>4044.74</v>
      </c>
      <c r="E173" s="2"/>
      <c r="F173" s="6">
        <f t="shared" si="81"/>
        <v>2.1994873478388462E-2</v>
      </c>
      <c r="G173" s="2"/>
      <c r="H173" s="7">
        <v>4446</v>
      </c>
      <c r="I173" s="2"/>
      <c r="J173" s="6">
        <f t="shared" si="82"/>
        <v>1.0786837438041192E-2</v>
      </c>
      <c r="K173" s="2"/>
      <c r="L173" s="7">
        <f t="shared" si="83"/>
        <v>-401.26000000000022</v>
      </c>
      <c r="M173" s="2"/>
      <c r="N173" s="6">
        <f t="shared" si="84"/>
        <v>-9.0251911830859247E-2</v>
      </c>
      <c r="O173" s="11"/>
      <c r="P173" s="7">
        <v>36402.660000000003</v>
      </c>
      <c r="Q173" s="2"/>
      <c r="R173" s="6">
        <f t="shared" si="85"/>
        <v>8.5368624132414125E-3</v>
      </c>
      <c r="S173" s="2"/>
      <c r="T173" s="7">
        <v>40014</v>
      </c>
      <c r="U173" s="2"/>
      <c r="V173" s="6">
        <f t="shared" si="86"/>
        <v>5.1838683675206436E-3</v>
      </c>
      <c r="W173" s="2"/>
      <c r="X173" s="7">
        <f t="shared" si="87"/>
        <v>-3611.3399999999965</v>
      </c>
      <c r="Y173" s="2"/>
      <c r="Z173" s="6">
        <f t="shared" si="88"/>
        <v>-9.0251911830859108E-2</v>
      </c>
    </row>
    <row r="174" spans="1:26" s="25" customFormat="1" outlineLevel="1" collapsed="1" x14ac:dyDescent="0.25">
      <c r="A174" s="27"/>
      <c r="B174" s="13" t="str">
        <f>CONCATENATE("     ","Inventory Adjustment                              ")</f>
        <v xml:space="preserve">     Inventory Adjustment                              </v>
      </c>
      <c r="C174" s="13"/>
      <c r="D174" s="1">
        <f>SUM(OSRRefD22_13x_0)</f>
        <v>2100</v>
      </c>
      <c r="E174" s="1"/>
      <c r="F174" s="5">
        <f t="shared" si="81"/>
        <v>1.1419580567506384E-2</v>
      </c>
      <c r="G174" s="1"/>
      <c r="H174" s="1">
        <f>SUM(OSRRefH22_13x_0)</f>
        <v>3100</v>
      </c>
      <c r="I174" s="1"/>
      <c r="J174" s="5">
        <f t="shared" si="82"/>
        <v>7.5211866976895398E-3</v>
      </c>
      <c r="K174" s="1"/>
      <c r="L174" s="1">
        <f t="shared" si="83"/>
        <v>-1000</v>
      </c>
      <c r="M174" s="1"/>
      <c r="N174" s="5">
        <f t="shared" si="84"/>
        <v>-0.32258064516129031</v>
      </c>
      <c r="O174" s="13"/>
      <c r="P174" s="1">
        <f>SUM(OSRRefP22_13x_0)</f>
        <v>23900</v>
      </c>
      <c r="Q174" s="1"/>
      <c r="R174" s="5">
        <f t="shared" si="85"/>
        <v>5.6048379892147922E-3</v>
      </c>
      <c r="S174" s="1"/>
      <c r="T174" s="1">
        <f>SUM(OSRRefT22_13x_0)</f>
        <v>32900</v>
      </c>
      <c r="U174" s="1"/>
      <c r="V174" s="5">
        <f t="shared" si="86"/>
        <v>4.2622399483038228E-3</v>
      </c>
      <c r="W174" s="1"/>
      <c r="X174" s="1">
        <f t="shared" si="87"/>
        <v>-9000</v>
      </c>
      <c r="Y174" s="1"/>
      <c r="Z174" s="5">
        <f t="shared" si="88"/>
        <v>-0.2735562310030395</v>
      </c>
    </row>
    <row r="175" spans="1:26" s="24" customFormat="1" hidden="1" outlineLevel="2" x14ac:dyDescent="0.25">
      <c r="A175" s="26"/>
      <c r="B175" s="11" t="str">
        <f>CONCATENATE("          ", "6408", " - ", "INVENTORY ADJUSTMENT")</f>
        <v xml:space="preserve">          6408 - INVENTORY ADJUSTMENT</v>
      </c>
      <c r="C175" s="11"/>
      <c r="D175" s="7">
        <v>2100</v>
      </c>
      <c r="E175" s="2"/>
      <c r="F175" s="6">
        <f t="shared" si="81"/>
        <v>1.1419580567506384E-2</v>
      </c>
      <c r="G175" s="2"/>
      <c r="H175" s="7">
        <v>3100</v>
      </c>
      <c r="I175" s="2"/>
      <c r="J175" s="6">
        <f t="shared" si="82"/>
        <v>7.5211866976895398E-3</v>
      </c>
      <c r="K175" s="2"/>
      <c r="L175" s="7">
        <f t="shared" si="83"/>
        <v>-1000</v>
      </c>
      <c r="M175" s="2"/>
      <c r="N175" s="6">
        <f t="shared" si="84"/>
        <v>-0.32258064516129031</v>
      </c>
      <c r="O175" s="11"/>
      <c r="P175" s="7">
        <v>23900</v>
      </c>
      <c r="Q175" s="2"/>
      <c r="R175" s="6">
        <f t="shared" si="85"/>
        <v>5.6048379892147922E-3</v>
      </c>
      <c r="S175" s="2"/>
      <c r="T175" s="7">
        <v>32900</v>
      </c>
      <c r="U175" s="2"/>
      <c r="V175" s="6">
        <f t="shared" si="86"/>
        <v>4.2622399483038228E-3</v>
      </c>
      <c r="W175" s="2"/>
      <c r="X175" s="7">
        <f t="shared" si="87"/>
        <v>-9000</v>
      </c>
      <c r="Y175" s="2"/>
      <c r="Z175" s="6">
        <f t="shared" si="88"/>
        <v>-0.2735562310030395</v>
      </c>
    </row>
    <row r="176" spans="1:26" s="24" customFormat="1" hidden="1" outlineLevel="2" x14ac:dyDescent="0.25">
      <c r="A176" s="26"/>
      <c r="B176" s="11" t="str">
        <f>CONCATENATE("          ", "7741", " - ", "INV. SHRINKAGE-LOGO GIFTS")</f>
        <v xml:space="preserve">          7741 - INV. SHRINKAGE-LOGO GIFTS</v>
      </c>
      <c r="C176" s="11"/>
      <c r="D176" s="7"/>
      <c r="E176" s="2"/>
      <c r="F176" s="6">
        <f t="shared" si="81"/>
        <v>0</v>
      </c>
      <c r="G176" s="2"/>
      <c r="H176" s="7"/>
      <c r="I176" s="2"/>
      <c r="J176" s="6">
        <f t="shared" si="82"/>
        <v>0</v>
      </c>
      <c r="K176" s="2"/>
      <c r="L176" s="7">
        <f t="shared" si="83"/>
        <v>0</v>
      </c>
      <c r="M176" s="2"/>
      <c r="N176" s="6">
        <f t="shared" si="84"/>
        <v>0</v>
      </c>
      <c r="O176" s="11"/>
      <c r="P176" s="7">
        <v>0</v>
      </c>
      <c r="Q176" s="2"/>
      <c r="R176" s="6">
        <f t="shared" si="85"/>
        <v>0</v>
      </c>
      <c r="S176" s="2"/>
      <c r="T176" s="7"/>
      <c r="U176" s="2"/>
      <c r="V176" s="6">
        <f t="shared" si="86"/>
        <v>0</v>
      </c>
      <c r="W176" s="2"/>
      <c r="X176" s="7">
        <f t="shared" si="87"/>
        <v>0</v>
      </c>
      <c r="Y176" s="2"/>
      <c r="Z176" s="6">
        <f t="shared" si="88"/>
        <v>0</v>
      </c>
    </row>
    <row r="177" spans="1:26" s="25" customFormat="1" outlineLevel="1" collapsed="1" x14ac:dyDescent="0.25">
      <c r="A177" s="27"/>
      <c r="B177" s="13" t="str">
        <f>CONCATENATE("     ","Professional Services                             ")</f>
        <v xml:space="preserve">     Professional Services                             </v>
      </c>
      <c r="C177" s="13"/>
      <c r="D177" s="1">
        <f>SUM(OSRRefD22_14x_0)</f>
        <v>0</v>
      </c>
      <c r="E177" s="1"/>
      <c r="F177" s="5">
        <f t="shared" ref="F177:F185" si="89">IF(D$12=0,0,D177/D$12)</f>
        <v>0</v>
      </c>
      <c r="G177" s="1"/>
      <c r="H177" s="1">
        <f>SUM(OSRRefH22_14x_0)</f>
        <v>0</v>
      </c>
      <c r="I177" s="1"/>
      <c r="J177" s="5">
        <f t="shared" ref="J177:J185" si="90">IF(H$12=0,0,H177/H$12)</f>
        <v>0</v>
      </c>
      <c r="K177" s="1"/>
      <c r="L177" s="1">
        <f t="shared" ref="L177:L185" si="91">+D177-H177</f>
        <v>0</v>
      </c>
      <c r="M177" s="1"/>
      <c r="N177" s="5">
        <f t="shared" ref="N177:N185" si="92">IF(H177=0,0,L177/H177)</f>
        <v>0</v>
      </c>
      <c r="O177" s="13"/>
      <c r="P177" s="1">
        <f>SUM(OSRRefP22_14x_0)</f>
        <v>0</v>
      </c>
      <c r="Q177" s="1"/>
      <c r="R177" s="5">
        <f t="shared" ref="R177:R185" si="93">IF(P$12=0,0,P177/P$12)</f>
        <v>0</v>
      </c>
      <c r="S177" s="1"/>
      <c r="T177" s="1">
        <f>SUM(OSRRefT22_14x_0)</f>
        <v>7050</v>
      </c>
      <c r="U177" s="1"/>
      <c r="V177" s="5">
        <f t="shared" ref="V177:V185" si="94">IF(T$12=0,0,T177/T$12)</f>
        <v>9.1333713177939064E-4</v>
      </c>
      <c r="W177" s="1"/>
      <c r="X177" s="1">
        <f t="shared" ref="X177:X185" si="95">+P177-T177</f>
        <v>-7050</v>
      </c>
      <c r="Y177" s="1"/>
      <c r="Z177" s="5">
        <f t="shared" ref="Z177:Z185" si="96">IF(T177=0,0,X177/T177)</f>
        <v>-1</v>
      </c>
    </row>
    <row r="178" spans="1:26" s="24" customFormat="1" hidden="1" outlineLevel="2" x14ac:dyDescent="0.25">
      <c r="A178" s="26"/>
      <c r="B178" s="11" t="str">
        <f>CONCATENATE("          ", "6336", " - ", "PROFESSIONAL SERVICES")</f>
        <v xml:space="preserve">          6336 - PROFESSIONAL SERVICES</v>
      </c>
      <c r="C178" s="11"/>
      <c r="D178" s="7"/>
      <c r="E178" s="2"/>
      <c r="F178" s="6">
        <f t="shared" si="89"/>
        <v>0</v>
      </c>
      <c r="G178" s="2"/>
      <c r="H178" s="7">
        <v>0</v>
      </c>
      <c r="I178" s="2"/>
      <c r="J178" s="6">
        <f t="shared" si="90"/>
        <v>0</v>
      </c>
      <c r="K178" s="2"/>
      <c r="L178" s="7">
        <f t="shared" si="91"/>
        <v>0</v>
      </c>
      <c r="M178" s="2"/>
      <c r="N178" s="6">
        <f t="shared" si="92"/>
        <v>0</v>
      </c>
      <c r="O178" s="11"/>
      <c r="P178" s="7"/>
      <c r="Q178" s="2"/>
      <c r="R178" s="6">
        <f t="shared" si="93"/>
        <v>0</v>
      </c>
      <c r="S178" s="2"/>
      <c r="T178" s="7">
        <v>7050</v>
      </c>
      <c r="U178" s="2"/>
      <c r="V178" s="6">
        <f t="shared" si="94"/>
        <v>9.1333713177939064E-4</v>
      </c>
      <c r="W178" s="2"/>
      <c r="X178" s="7">
        <f t="shared" si="95"/>
        <v>-7050</v>
      </c>
      <c r="Y178" s="2"/>
      <c r="Z178" s="6">
        <f t="shared" si="96"/>
        <v>-1</v>
      </c>
    </row>
    <row r="179" spans="1:26" s="25" customFormat="1" outlineLevel="1" collapsed="1" x14ac:dyDescent="0.25">
      <c r="A179" s="27"/>
      <c r="B179" s="13" t="str">
        <f>CONCATENATE("     ","Rent                                              ")</f>
        <v xml:space="preserve">     Rent                                              </v>
      </c>
      <c r="C179" s="13"/>
      <c r="D179" s="1">
        <f>SUM(OSRRefD22_15x_0)</f>
        <v>6100</v>
      </c>
      <c r="E179" s="1"/>
      <c r="F179" s="5">
        <f t="shared" si="89"/>
        <v>3.3171162600851879E-2</v>
      </c>
      <c r="G179" s="1"/>
      <c r="H179" s="1">
        <f>SUM(OSRRefH22_15x_0)</f>
        <v>6100</v>
      </c>
      <c r="I179" s="1"/>
      <c r="J179" s="5">
        <f t="shared" si="90"/>
        <v>1.479975446964716E-2</v>
      </c>
      <c r="K179" s="1"/>
      <c r="L179" s="1">
        <f t="shared" si="91"/>
        <v>0</v>
      </c>
      <c r="M179" s="1"/>
      <c r="N179" s="5">
        <f t="shared" si="92"/>
        <v>0</v>
      </c>
      <c r="O179" s="13"/>
      <c r="P179" s="1">
        <f>SUM(OSRRefP22_15x_0)</f>
        <v>54900</v>
      </c>
      <c r="Q179" s="1"/>
      <c r="R179" s="5">
        <f t="shared" si="93"/>
        <v>1.2874711531710966E-2</v>
      </c>
      <c r="S179" s="1"/>
      <c r="T179" s="1">
        <f>SUM(OSRRefT22_15x_0)</f>
        <v>54901</v>
      </c>
      <c r="U179" s="1"/>
      <c r="V179" s="5">
        <f t="shared" si="94"/>
        <v>7.1124995562865711E-3</v>
      </c>
      <c r="W179" s="1"/>
      <c r="X179" s="1">
        <f t="shared" si="95"/>
        <v>-1</v>
      </c>
      <c r="Y179" s="1"/>
      <c r="Z179" s="5">
        <f t="shared" si="96"/>
        <v>-1.8214604469863936E-5</v>
      </c>
    </row>
    <row r="180" spans="1:26" s="24" customFormat="1" hidden="1" outlineLevel="2" x14ac:dyDescent="0.25">
      <c r="A180" s="26"/>
      <c r="B180" s="11" t="str">
        <f>CONCATENATE("          ", "6273", " - ", "RENT")</f>
        <v xml:space="preserve">          6273 - RENT</v>
      </c>
      <c r="C180" s="11"/>
      <c r="D180" s="7">
        <v>6100</v>
      </c>
      <c r="E180" s="2"/>
      <c r="F180" s="6">
        <f t="shared" si="89"/>
        <v>3.3171162600851879E-2</v>
      </c>
      <c r="G180" s="2"/>
      <c r="H180" s="7">
        <v>6100</v>
      </c>
      <c r="I180" s="2"/>
      <c r="J180" s="6">
        <f t="shared" si="90"/>
        <v>1.479975446964716E-2</v>
      </c>
      <c r="K180" s="2"/>
      <c r="L180" s="7">
        <f t="shared" si="91"/>
        <v>0</v>
      </c>
      <c r="M180" s="2"/>
      <c r="N180" s="6">
        <f t="shared" si="92"/>
        <v>0</v>
      </c>
      <c r="O180" s="11"/>
      <c r="P180" s="7">
        <v>54900</v>
      </c>
      <c r="Q180" s="2"/>
      <c r="R180" s="6">
        <f t="shared" si="93"/>
        <v>1.2874711531710966E-2</v>
      </c>
      <c r="S180" s="2"/>
      <c r="T180" s="7">
        <v>54901</v>
      </c>
      <c r="U180" s="2"/>
      <c r="V180" s="6">
        <f t="shared" si="94"/>
        <v>7.1124995562865711E-3</v>
      </c>
      <c r="W180" s="2"/>
      <c r="X180" s="7">
        <f t="shared" si="95"/>
        <v>-1</v>
      </c>
      <c r="Y180" s="2"/>
      <c r="Z180" s="6">
        <f t="shared" si="96"/>
        <v>-1.8214604469863936E-5</v>
      </c>
    </row>
    <row r="181" spans="1:26" s="25" customFormat="1" outlineLevel="1" collapsed="1" x14ac:dyDescent="0.25">
      <c r="A181" s="27"/>
      <c r="B181" s="13" t="str">
        <f>CONCATENATE("     ","Repair and Maintenance                            ")</f>
        <v xml:space="preserve">     Repair and Maintenance                            </v>
      </c>
      <c r="C181" s="13"/>
      <c r="D181" s="1">
        <f>SUM(OSRRefD22_16x_0)</f>
        <v>1473.46</v>
      </c>
      <c r="E181" s="1"/>
      <c r="F181" s="5">
        <f t="shared" si="89"/>
        <v>8.0125215157133122E-3</v>
      </c>
      <c r="G181" s="1"/>
      <c r="H181" s="1">
        <f>SUM(OSRRefH22_16x_0)</f>
        <v>19440</v>
      </c>
      <c r="I181" s="1"/>
      <c r="J181" s="5">
        <f t="shared" si="90"/>
        <v>4.7165119162285371E-2</v>
      </c>
      <c r="K181" s="1"/>
      <c r="L181" s="1">
        <f t="shared" si="91"/>
        <v>-17966.54</v>
      </c>
      <c r="M181" s="1"/>
      <c r="N181" s="5">
        <f t="shared" si="92"/>
        <v>-0.92420473251028812</v>
      </c>
      <c r="O181" s="13"/>
      <c r="P181" s="1">
        <f>SUM(OSRRefP22_16x_0)</f>
        <v>130429.85999999999</v>
      </c>
      <c r="Q181" s="1"/>
      <c r="R181" s="5">
        <f t="shared" si="93"/>
        <v>3.0587373818241285E-2</v>
      </c>
      <c r="S181" s="1"/>
      <c r="T181" s="1">
        <f>SUM(OSRRefT22_16x_0)</f>
        <v>180710</v>
      </c>
      <c r="U181" s="1"/>
      <c r="V181" s="5">
        <f t="shared" si="94"/>
        <v>2.3411227387780665E-2</v>
      </c>
      <c r="W181" s="1"/>
      <c r="X181" s="1">
        <f t="shared" si="95"/>
        <v>-50280.140000000014</v>
      </c>
      <c r="Y181" s="1"/>
      <c r="Z181" s="5">
        <f t="shared" si="96"/>
        <v>-0.27823662221238454</v>
      </c>
    </row>
    <row r="182" spans="1:26" s="24" customFormat="1" hidden="1" outlineLevel="2" x14ac:dyDescent="0.25">
      <c r="A182" s="26"/>
      <c r="B182" s="11" t="str">
        <f>CONCATENATE("          ", "6371", " - ", "COMPUTER SOFTWARE MAINTENANCE")</f>
        <v xml:space="preserve">          6371 - COMPUTER SOFTWARE MAINTENANCE</v>
      </c>
      <c r="C182" s="11"/>
      <c r="D182" s="7"/>
      <c r="E182" s="2"/>
      <c r="F182" s="6">
        <f t="shared" si="89"/>
        <v>0</v>
      </c>
      <c r="G182" s="2"/>
      <c r="H182" s="7"/>
      <c r="I182" s="2"/>
      <c r="J182" s="6">
        <f t="shared" si="90"/>
        <v>0</v>
      </c>
      <c r="K182" s="2"/>
      <c r="L182" s="7">
        <f t="shared" si="91"/>
        <v>0</v>
      </c>
      <c r="M182" s="2"/>
      <c r="N182" s="6">
        <f t="shared" si="92"/>
        <v>0</v>
      </c>
      <c r="O182" s="11"/>
      <c r="P182" s="7">
        <v>59767.72</v>
      </c>
      <c r="Q182" s="2"/>
      <c r="R182" s="6">
        <f t="shared" si="93"/>
        <v>1.401625052655869E-2</v>
      </c>
      <c r="S182" s="2"/>
      <c r="T182" s="7">
        <v>45000</v>
      </c>
      <c r="U182" s="2"/>
      <c r="V182" s="6">
        <f t="shared" si="94"/>
        <v>5.8298114794429184E-3</v>
      </c>
      <c r="W182" s="2"/>
      <c r="X182" s="7">
        <f t="shared" si="95"/>
        <v>14767.720000000001</v>
      </c>
      <c r="Y182" s="2"/>
      <c r="Z182" s="6">
        <f t="shared" si="96"/>
        <v>0.32817155555555561</v>
      </c>
    </row>
    <row r="183" spans="1:26" s="24" customFormat="1" hidden="1" outlineLevel="2" x14ac:dyDescent="0.25">
      <c r="A183" s="26"/>
      <c r="B183" s="11" t="str">
        <f>CONCATENATE("          ", "6372", " - ", "COMPUTER HARDWARE MAINTENANCE")</f>
        <v xml:space="preserve">          6372 - COMPUTER HARDWARE MAINTENANCE</v>
      </c>
      <c r="C183" s="11"/>
      <c r="D183" s="7"/>
      <c r="E183" s="2"/>
      <c r="F183" s="6">
        <f t="shared" si="89"/>
        <v>0</v>
      </c>
      <c r="G183" s="2"/>
      <c r="H183" s="7"/>
      <c r="I183" s="2"/>
      <c r="J183" s="6">
        <f t="shared" si="90"/>
        <v>0</v>
      </c>
      <c r="K183" s="2"/>
      <c r="L183" s="7">
        <f t="shared" si="91"/>
        <v>0</v>
      </c>
      <c r="M183" s="2"/>
      <c r="N183" s="6">
        <f t="shared" si="92"/>
        <v>0</v>
      </c>
      <c r="O183" s="11"/>
      <c r="P183" s="7">
        <v>-1.1499999999999999</v>
      </c>
      <c r="Q183" s="2"/>
      <c r="R183" s="6">
        <f t="shared" si="93"/>
        <v>-2.6968885722163222E-7</v>
      </c>
      <c r="S183" s="2"/>
      <c r="T183" s="7"/>
      <c r="U183" s="2"/>
      <c r="V183" s="6">
        <f t="shared" si="94"/>
        <v>0</v>
      </c>
      <c r="W183" s="2"/>
      <c r="X183" s="7">
        <f t="shared" si="95"/>
        <v>-1.1499999999999999</v>
      </c>
      <c r="Y183" s="2"/>
      <c r="Z183" s="6">
        <f t="shared" si="96"/>
        <v>0</v>
      </c>
    </row>
    <row r="184" spans="1:26" s="24" customFormat="1" hidden="1" outlineLevel="2" x14ac:dyDescent="0.25">
      <c r="A184" s="26"/>
      <c r="B184" s="11" t="str">
        <f>CONCATENATE("          ", "6373", " - ", "MAINTENANCE CONTRACTS")</f>
        <v xml:space="preserve">          6373 - MAINTENANCE CONTRACTS</v>
      </c>
      <c r="C184" s="11"/>
      <c r="D184" s="7">
        <v>1262.9000000000001</v>
      </c>
      <c r="E184" s="2"/>
      <c r="F184" s="6">
        <f t="shared" si="89"/>
        <v>6.8675182374780064E-3</v>
      </c>
      <c r="G184" s="2"/>
      <c r="H184" s="7">
        <v>11040</v>
      </c>
      <c r="I184" s="2"/>
      <c r="J184" s="6">
        <f t="shared" si="90"/>
        <v>2.6785129400804041E-2</v>
      </c>
      <c r="K184" s="2"/>
      <c r="L184" s="7">
        <f t="shared" si="91"/>
        <v>-9777.1</v>
      </c>
      <c r="M184" s="2"/>
      <c r="N184" s="6">
        <f t="shared" si="92"/>
        <v>-0.88560688405797106</v>
      </c>
      <c r="O184" s="11"/>
      <c r="P184" s="7">
        <v>44689.58</v>
      </c>
      <c r="Q184" s="2"/>
      <c r="R184" s="6">
        <f t="shared" si="93"/>
        <v>1.048024500862149E-2</v>
      </c>
      <c r="S184" s="2"/>
      <c r="T184" s="7">
        <v>59760</v>
      </c>
      <c r="U184" s="2"/>
      <c r="V184" s="6">
        <f t="shared" si="94"/>
        <v>7.7419896447001963E-3</v>
      </c>
      <c r="W184" s="2"/>
      <c r="X184" s="7">
        <f t="shared" si="95"/>
        <v>-15070.419999999998</v>
      </c>
      <c r="Y184" s="2"/>
      <c r="Z184" s="6">
        <f t="shared" si="96"/>
        <v>-0.25218239625167332</v>
      </c>
    </row>
    <row r="185" spans="1:26" s="24" customFormat="1" hidden="1" outlineLevel="2" x14ac:dyDescent="0.25">
      <c r="A185" s="26"/>
      <c r="B185" s="11" t="str">
        <f>CONCATENATE("          ", "6375", " - ", "OUTSIDE REPAIRS &amp; MAINTENANCE")</f>
        <v xml:space="preserve">          6375 - OUTSIDE REPAIRS &amp; MAINTENANCE</v>
      </c>
      <c r="C185" s="11"/>
      <c r="D185" s="7">
        <v>210.56</v>
      </c>
      <c r="E185" s="2"/>
      <c r="F185" s="6">
        <f t="shared" si="89"/>
        <v>1.1450032782353067E-3</v>
      </c>
      <c r="G185" s="2"/>
      <c r="H185" s="7">
        <v>8400</v>
      </c>
      <c r="I185" s="2"/>
      <c r="J185" s="6">
        <f t="shared" si="90"/>
        <v>2.0379989761481334E-2</v>
      </c>
      <c r="K185" s="2"/>
      <c r="L185" s="7">
        <f t="shared" si="91"/>
        <v>-8189.44</v>
      </c>
      <c r="M185" s="2"/>
      <c r="N185" s="6">
        <f t="shared" si="92"/>
        <v>-0.97493333333333332</v>
      </c>
      <c r="O185" s="11"/>
      <c r="P185" s="7">
        <v>25973.71</v>
      </c>
      <c r="Q185" s="2"/>
      <c r="R185" s="6">
        <f t="shared" si="93"/>
        <v>6.0911479719183313E-3</v>
      </c>
      <c r="S185" s="2"/>
      <c r="T185" s="7">
        <v>75950</v>
      </c>
      <c r="U185" s="2"/>
      <c r="V185" s="6">
        <f t="shared" si="94"/>
        <v>9.8394262636375476E-3</v>
      </c>
      <c r="W185" s="2"/>
      <c r="X185" s="7">
        <f t="shared" si="95"/>
        <v>-49976.29</v>
      </c>
      <c r="Y185" s="2"/>
      <c r="Z185" s="6">
        <f t="shared" si="96"/>
        <v>-0.65801566820276503</v>
      </c>
    </row>
    <row r="186" spans="1:26" s="25" customFormat="1" outlineLevel="1" collapsed="1" x14ac:dyDescent="0.25">
      <c r="A186" s="27"/>
      <c r="B186" s="13" t="str">
        <f>CONCATENATE("     ","Royalty &amp; Commissions                             ")</f>
        <v xml:space="preserve">     Royalty &amp; Commissions                             </v>
      </c>
      <c r="C186" s="13"/>
      <c r="D186" s="1">
        <f>SUM(OSRRefD22_17x_0)</f>
        <v>27.21</v>
      </c>
      <c r="E186" s="1"/>
      <c r="F186" s="5">
        <f t="shared" ref="F186:F190" si="97">IF(D$12=0,0,D186/D$12)</f>
        <v>1.4796513678183272E-4</v>
      </c>
      <c r="G186" s="1"/>
      <c r="H186" s="1">
        <f>SUM(OSRRefH22_17x_0)</f>
        <v>10471</v>
      </c>
      <c r="I186" s="1"/>
      <c r="J186" s="5">
        <f t="shared" ref="J186:J190" si="98">IF(H$12=0,0,H186/H$12)</f>
        <v>2.5404627713389409E-2</v>
      </c>
      <c r="K186" s="1"/>
      <c r="L186" s="1">
        <f t="shared" ref="L186:L190" si="99">+D186-H186</f>
        <v>-10443.790000000001</v>
      </c>
      <c r="M186" s="1"/>
      <c r="N186" s="5">
        <f t="shared" ref="N186:N190" si="100">IF(H186=0,0,L186/H186)</f>
        <v>-0.99740139432718944</v>
      </c>
      <c r="O186" s="13"/>
      <c r="P186" s="1">
        <f>SUM(OSRRefP22_17x_0)</f>
        <v>36861.200000000004</v>
      </c>
      <c r="Q186" s="1"/>
      <c r="R186" s="5">
        <f t="shared" ref="R186:R190" si="101">IF(P$12=0,0,P186/P$12)</f>
        <v>8.6443955685374194E-3</v>
      </c>
      <c r="S186" s="1"/>
      <c r="T186" s="1">
        <f>SUM(OSRRefT22_17x_0)</f>
        <v>79989</v>
      </c>
      <c r="U186" s="1"/>
      <c r="V186" s="5">
        <f t="shared" ref="V186:V190" si="102">IF(T$12=0,0,T186/T$12)</f>
        <v>1.0362684231759104E-2</v>
      </c>
      <c r="W186" s="1"/>
      <c r="X186" s="1">
        <f t="shared" ref="X186:X190" si="103">+P186-T186</f>
        <v>-43127.799999999996</v>
      </c>
      <c r="Y186" s="1"/>
      <c r="Z186" s="5">
        <f t="shared" ref="Z186:Z190" si="104">IF(T186=0,0,X186/T186)</f>
        <v>-0.53917163609996366</v>
      </c>
    </row>
    <row r="187" spans="1:26" s="24" customFormat="1" hidden="1" outlineLevel="2" x14ac:dyDescent="0.25">
      <c r="A187" s="26"/>
      <c r="B187" s="11" t="str">
        <f>CONCATENATE("          ", "6252", " - ", "ROYALTY DUE CSTV")</f>
        <v xml:space="preserve">          6252 - ROYALTY DUE CSTV</v>
      </c>
      <c r="C187" s="11"/>
      <c r="D187" s="7"/>
      <c r="E187" s="2"/>
      <c r="F187" s="6">
        <f t="shared" si="97"/>
        <v>0</v>
      </c>
      <c r="G187" s="2"/>
      <c r="H187" s="7">
        <v>1085</v>
      </c>
      <c r="I187" s="2"/>
      <c r="J187" s="6">
        <f t="shared" si="98"/>
        <v>2.632415344191339E-3</v>
      </c>
      <c r="K187" s="2"/>
      <c r="L187" s="7">
        <f t="shared" si="99"/>
        <v>-1085</v>
      </c>
      <c r="M187" s="2"/>
      <c r="N187" s="6">
        <f t="shared" si="100"/>
        <v>-1</v>
      </c>
      <c r="O187" s="11"/>
      <c r="P187" s="7"/>
      <c r="Q187" s="2"/>
      <c r="R187" s="6">
        <f t="shared" si="101"/>
        <v>0</v>
      </c>
      <c r="S187" s="2"/>
      <c r="T187" s="7">
        <v>9765</v>
      </c>
      <c r="U187" s="2"/>
      <c r="V187" s="6">
        <f t="shared" si="102"/>
        <v>1.2650690910391133E-3</v>
      </c>
      <c r="W187" s="2"/>
      <c r="X187" s="7">
        <f t="shared" si="103"/>
        <v>-9765</v>
      </c>
      <c r="Y187" s="2"/>
      <c r="Z187" s="6">
        <f t="shared" si="104"/>
        <v>-1</v>
      </c>
    </row>
    <row r="188" spans="1:26" s="24" customFormat="1" hidden="1" outlineLevel="2" x14ac:dyDescent="0.25">
      <c r="A188" s="26"/>
      <c r="B188" s="11" t="str">
        <f>CONCATENATE("          ", "6253", " - ", "ROYALTY DUE ATHLETICS-LRG")</f>
        <v xml:space="preserve">          6253 - ROYALTY DUE ATHLETICS-LRG</v>
      </c>
      <c r="C188" s="11"/>
      <c r="D188" s="7"/>
      <c r="E188" s="2"/>
      <c r="F188" s="6">
        <f t="shared" si="97"/>
        <v>0</v>
      </c>
      <c r="G188" s="2"/>
      <c r="H188" s="7">
        <v>4037</v>
      </c>
      <c r="I188" s="2"/>
      <c r="J188" s="6">
        <f t="shared" si="98"/>
        <v>9.794526031797637E-3</v>
      </c>
      <c r="K188" s="2"/>
      <c r="L188" s="7">
        <f t="shared" si="99"/>
        <v>-4037</v>
      </c>
      <c r="M188" s="2"/>
      <c r="N188" s="6">
        <f t="shared" si="100"/>
        <v>-1</v>
      </c>
      <c r="O188" s="11"/>
      <c r="P188" s="7">
        <v>26197.58</v>
      </c>
      <c r="Q188" s="2"/>
      <c r="R188" s="6">
        <f t="shared" si="101"/>
        <v>6.1436481844976427E-3</v>
      </c>
      <c r="S188" s="2"/>
      <c r="T188" s="7">
        <v>36333</v>
      </c>
      <c r="U188" s="2"/>
      <c r="V188" s="6">
        <f t="shared" si="102"/>
        <v>4.7069897885022123E-3</v>
      </c>
      <c r="W188" s="2"/>
      <c r="X188" s="7">
        <f t="shared" si="103"/>
        <v>-10135.419999999998</v>
      </c>
      <c r="Y188" s="2"/>
      <c r="Z188" s="6">
        <f t="shared" si="104"/>
        <v>-0.27895907301901846</v>
      </c>
    </row>
    <row r="189" spans="1:26" s="24" customFormat="1" hidden="1" outlineLevel="2" x14ac:dyDescent="0.25">
      <c r="A189" s="26"/>
      <c r="B189" s="11" t="str">
        <f>CONCATENATE("          ", "6254", " - ", "ROYALTY &amp; COMMISSIONS")</f>
        <v xml:space="preserve">          6254 - ROYALTY &amp; COMMISSIONS</v>
      </c>
      <c r="C189" s="11"/>
      <c r="D189" s="7"/>
      <c r="E189" s="2"/>
      <c r="F189" s="6">
        <f t="shared" si="97"/>
        <v>0</v>
      </c>
      <c r="G189" s="2"/>
      <c r="H189" s="7">
        <v>1149</v>
      </c>
      <c r="I189" s="2"/>
      <c r="J189" s="6">
        <f t="shared" si="98"/>
        <v>2.7876914566597683E-3</v>
      </c>
      <c r="K189" s="2"/>
      <c r="L189" s="7">
        <f t="shared" si="99"/>
        <v>-1149</v>
      </c>
      <c r="M189" s="2"/>
      <c r="N189" s="6">
        <f t="shared" si="100"/>
        <v>-1</v>
      </c>
      <c r="O189" s="11"/>
      <c r="P189" s="7"/>
      <c r="Q189" s="2"/>
      <c r="R189" s="6">
        <f t="shared" si="101"/>
        <v>0</v>
      </c>
      <c r="S189" s="2"/>
      <c r="T189" s="7">
        <v>10341</v>
      </c>
      <c r="U189" s="2"/>
      <c r="V189" s="6">
        <f t="shared" si="102"/>
        <v>1.3396906779759828E-3</v>
      </c>
      <c r="W189" s="2"/>
      <c r="X189" s="7">
        <f t="shared" si="103"/>
        <v>-10341</v>
      </c>
      <c r="Y189" s="2"/>
      <c r="Z189" s="6">
        <f t="shared" si="104"/>
        <v>-1</v>
      </c>
    </row>
    <row r="190" spans="1:26" s="24" customFormat="1" hidden="1" outlineLevel="2" x14ac:dyDescent="0.25">
      <c r="A190" s="26"/>
      <c r="B190" s="11" t="str">
        <f>CONCATENATE("          ", "6259", " - ", "ROYALTY &amp; COMMISSIONS")</f>
        <v xml:space="preserve">          6259 - ROYALTY &amp; COMMISSIONS</v>
      </c>
      <c r="C190" s="11"/>
      <c r="D190" s="7">
        <v>27.21</v>
      </c>
      <c r="E190" s="2"/>
      <c r="F190" s="6">
        <f t="shared" si="97"/>
        <v>1.4796513678183272E-4</v>
      </c>
      <c r="G190" s="2"/>
      <c r="H190" s="7">
        <v>4200</v>
      </c>
      <c r="I190" s="2"/>
      <c r="J190" s="6">
        <f t="shared" si="98"/>
        <v>1.0189994880740667E-2</v>
      </c>
      <c r="K190" s="2"/>
      <c r="L190" s="7">
        <f t="shared" si="99"/>
        <v>-4172.79</v>
      </c>
      <c r="M190" s="2"/>
      <c r="N190" s="6">
        <f t="shared" si="100"/>
        <v>-0.99352142857142856</v>
      </c>
      <c r="O190" s="11"/>
      <c r="P190" s="7">
        <v>10663.62</v>
      </c>
      <c r="Q190" s="2"/>
      <c r="R190" s="6">
        <f t="shared" si="101"/>
        <v>2.5007473840397759E-3</v>
      </c>
      <c r="S190" s="2"/>
      <c r="T190" s="7">
        <v>23550</v>
      </c>
      <c r="U190" s="2"/>
      <c r="V190" s="6">
        <f t="shared" si="102"/>
        <v>3.0509346742417943E-3</v>
      </c>
      <c r="W190" s="2"/>
      <c r="X190" s="7">
        <f t="shared" si="103"/>
        <v>-12886.38</v>
      </c>
      <c r="Y190" s="2"/>
      <c r="Z190" s="6">
        <f t="shared" si="104"/>
        <v>-0.54719235668789801</v>
      </c>
    </row>
    <row r="191" spans="1:26" s="25" customFormat="1" outlineLevel="1" collapsed="1" x14ac:dyDescent="0.25">
      <c r="A191" s="27"/>
      <c r="B191" s="13" t="str">
        <f>CONCATENATE("     ","Services                                          ")</f>
        <v xml:space="preserve">     Services                                          </v>
      </c>
      <c r="C191" s="13"/>
      <c r="D191" s="1">
        <f>SUM(OSRRefD22_18x_0)</f>
        <v>7475.7699999999995</v>
      </c>
      <c r="E191" s="1"/>
      <c r="F191" s="5">
        <f t="shared" ref="F191:F195" si="105">IF(D$12=0,0,D191/D$12)</f>
        <v>4.0652456104355805E-2</v>
      </c>
      <c r="G191" s="1"/>
      <c r="H191" s="1">
        <f>SUM(OSRRefH22_18x_0)</f>
        <v>4784</v>
      </c>
      <c r="I191" s="1"/>
      <c r="J191" s="5">
        <f t="shared" ref="J191:J195" si="106">IF(H$12=0,0,H191/H$12)</f>
        <v>1.1606889407015084E-2</v>
      </c>
      <c r="K191" s="1"/>
      <c r="L191" s="1">
        <f t="shared" ref="L191:L195" si="107">+D191-H191</f>
        <v>2691.7699999999995</v>
      </c>
      <c r="M191" s="1"/>
      <c r="N191" s="5">
        <f t="shared" ref="N191:N195" si="108">IF(H191=0,0,L191/H191)</f>
        <v>0.56266095317725739</v>
      </c>
      <c r="O191" s="13"/>
      <c r="P191" s="1">
        <f>SUM(OSRRefP22_18x_0)</f>
        <v>36137.660000000003</v>
      </c>
      <c r="Q191" s="1"/>
      <c r="R191" s="5">
        <f t="shared" ref="R191:R195" si="109">IF(P$12=0,0,P191/P$12)</f>
        <v>8.4747167200555588E-3</v>
      </c>
      <c r="S191" s="1"/>
      <c r="T191" s="1">
        <f>SUM(OSRRefT22_18x_0)</f>
        <v>42777</v>
      </c>
      <c r="U191" s="1"/>
      <c r="V191" s="5">
        <f t="shared" ref="V191:V195" si="110">IF(T$12=0,0,T191/T$12)</f>
        <v>5.5418187923584388E-3</v>
      </c>
      <c r="W191" s="1"/>
      <c r="X191" s="1">
        <f t="shared" ref="X191:X195" si="111">+P191-T191</f>
        <v>-6639.3399999999965</v>
      </c>
      <c r="Y191" s="1"/>
      <c r="Z191" s="5">
        <f t="shared" ref="Z191:Z195" si="112">IF(T191=0,0,X191/T191)</f>
        <v>-0.15520817261612541</v>
      </c>
    </row>
    <row r="192" spans="1:26" s="24" customFormat="1" hidden="1" outlineLevel="2" x14ac:dyDescent="0.25">
      <c r="A192" s="26"/>
      <c r="B192" s="11" t="str">
        <f>CONCATENATE("          ", "6282", " - ", "JANITORIAL/EXTERMINATOR EXPENS")</f>
        <v xml:space="preserve">          6282 - JANITORIAL/EXTERMINATOR EXPENS</v>
      </c>
      <c r="C192" s="11"/>
      <c r="D192" s="7">
        <v>453</v>
      </c>
      <c r="E192" s="2"/>
      <c r="F192" s="6">
        <f t="shared" si="105"/>
        <v>2.4633666652763772E-3</v>
      </c>
      <c r="G192" s="2"/>
      <c r="H192" s="7">
        <v>4000</v>
      </c>
      <c r="I192" s="2"/>
      <c r="J192" s="6">
        <f t="shared" si="106"/>
        <v>9.7047570292768254E-3</v>
      </c>
      <c r="K192" s="2"/>
      <c r="L192" s="7">
        <f t="shared" si="107"/>
        <v>-3547</v>
      </c>
      <c r="M192" s="2"/>
      <c r="N192" s="6">
        <f t="shared" si="108"/>
        <v>-0.88675000000000004</v>
      </c>
      <c r="O192" s="11"/>
      <c r="P192" s="7">
        <v>7406.12</v>
      </c>
      <c r="Q192" s="2"/>
      <c r="R192" s="6">
        <f t="shared" si="109"/>
        <v>1.7368243819532827E-3</v>
      </c>
      <c r="S192" s="2"/>
      <c r="T192" s="7">
        <v>36000</v>
      </c>
      <c r="U192" s="2"/>
      <c r="V192" s="6">
        <f t="shared" si="110"/>
        <v>4.6638491835543352E-3</v>
      </c>
      <c r="W192" s="2"/>
      <c r="X192" s="7">
        <f t="shared" si="111"/>
        <v>-28593.88</v>
      </c>
      <c r="Y192" s="2"/>
      <c r="Z192" s="6">
        <f t="shared" si="112"/>
        <v>-0.79427444444444451</v>
      </c>
    </row>
    <row r="193" spans="1:26" s="24" customFormat="1" hidden="1" outlineLevel="2" x14ac:dyDescent="0.25">
      <c r="A193" s="26"/>
      <c r="B193" s="11" t="str">
        <f>CONCATENATE("          ", "6283", " - ", "PLANT SERVICE")</f>
        <v xml:space="preserve">          6283 - PLANT SERVICE</v>
      </c>
      <c r="C193" s="11"/>
      <c r="D193" s="7"/>
      <c r="E193" s="2"/>
      <c r="F193" s="6">
        <f t="shared" si="105"/>
        <v>0</v>
      </c>
      <c r="G193" s="2"/>
      <c r="H193" s="7">
        <v>0</v>
      </c>
      <c r="I193" s="2"/>
      <c r="J193" s="6">
        <f t="shared" si="106"/>
        <v>0</v>
      </c>
      <c r="K193" s="2"/>
      <c r="L193" s="7">
        <f t="shared" si="107"/>
        <v>0</v>
      </c>
      <c r="M193" s="2"/>
      <c r="N193" s="6">
        <f t="shared" si="108"/>
        <v>0</v>
      </c>
      <c r="O193" s="11"/>
      <c r="P193" s="7">
        <v>171.31</v>
      </c>
      <c r="Q193" s="2"/>
      <c r="R193" s="6">
        <f t="shared" si="109"/>
        <v>4.0174259244032889E-5</v>
      </c>
      <c r="S193" s="2"/>
      <c r="T193" s="7">
        <v>0</v>
      </c>
      <c r="U193" s="2"/>
      <c r="V193" s="6">
        <f t="shared" si="110"/>
        <v>0</v>
      </c>
      <c r="W193" s="2"/>
      <c r="X193" s="7">
        <f t="shared" si="111"/>
        <v>171.31</v>
      </c>
      <c r="Y193" s="2"/>
      <c r="Z193" s="6">
        <f t="shared" si="112"/>
        <v>0</v>
      </c>
    </row>
    <row r="194" spans="1:26" s="24" customFormat="1" hidden="1" outlineLevel="2" x14ac:dyDescent="0.25">
      <c r="A194" s="26"/>
      <c r="B194" s="11" t="str">
        <f>CONCATENATE("          ", "6284", " - ", "TRASH REMOVAL EXPENSE")</f>
        <v xml:space="preserve">          6284 - TRASH REMOVAL EXPENSE</v>
      </c>
      <c r="C194" s="11"/>
      <c r="D194" s="7">
        <v>142.57</v>
      </c>
      <c r="E194" s="2"/>
      <c r="F194" s="6">
        <f t="shared" si="105"/>
        <v>7.7528076262351668E-4</v>
      </c>
      <c r="G194" s="2"/>
      <c r="H194" s="7">
        <v>110</v>
      </c>
      <c r="I194" s="2"/>
      <c r="J194" s="6">
        <f t="shared" si="106"/>
        <v>2.6688081830511268E-4</v>
      </c>
      <c r="K194" s="2"/>
      <c r="L194" s="7">
        <f t="shared" si="107"/>
        <v>32.569999999999993</v>
      </c>
      <c r="M194" s="2"/>
      <c r="N194" s="6">
        <f t="shared" si="108"/>
        <v>0.29609090909090902</v>
      </c>
      <c r="O194" s="11"/>
      <c r="P194" s="7">
        <v>1298.1500000000001</v>
      </c>
      <c r="Q194" s="2"/>
      <c r="R194" s="6">
        <f t="shared" si="109"/>
        <v>3.0443181739327126E-4</v>
      </c>
      <c r="S194" s="2"/>
      <c r="T194" s="7">
        <v>660</v>
      </c>
      <c r="U194" s="2"/>
      <c r="V194" s="6">
        <f t="shared" si="110"/>
        <v>8.5503901698496141E-5</v>
      </c>
      <c r="W194" s="2"/>
      <c r="X194" s="7">
        <f t="shared" si="111"/>
        <v>638.15000000000009</v>
      </c>
      <c r="Y194" s="2"/>
      <c r="Z194" s="6">
        <f t="shared" si="112"/>
        <v>0.96689393939393953</v>
      </c>
    </row>
    <row r="195" spans="1:26" s="24" customFormat="1" hidden="1" outlineLevel="2" x14ac:dyDescent="0.25">
      <c r="A195" s="26"/>
      <c r="B195" s="11" t="str">
        <f>CONCATENATE("          ", "6285", " - ", "JANITORIAL SERVICES")</f>
        <v xml:space="preserve">          6285 - JANITORIAL SERVICES</v>
      </c>
      <c r="C195" s="11"/>
      <c r="D195" s="7">
        <v>6880.2</v>
      </c>
      <c r="E195" s="2"/>
      <c r="F195" s="6">
        <f t="shared" si="105"/>
        <v>3.7413808676455912E-2</v>
      </c>
      <c r="G195" s="2"/>
      <c r="H195" s="7">
        <v>674</v>
      </c>
      <c r="I195" s="2"/>
      <c r="J195" s="6">
        <f t="shared" si="106"/>
        <v>1.6352515594331451E-3</v>
      </c>
      <c r="K195" s="2"/>
      <c r="L195" s="7">
        <f t="shared" si="107"/>
        <v>6206.2</v>
      </c>
      <c r="M195" s="2"/>
      <c r="N195" s="6">
        <f t="shared" si="108"/>
        <v>9.2080118694362021</v>
      </c>
      <c r="O195" s="11"/>
      <c r="P195" s="7">
        <v>27262.080000000002</v>
      </c>
      <c r="Q195" s="2"/>
      <c r="R195" s="6">
        <f t="shared" si="109"/>
        <v>6.393286261464971E-3</v>
      </c>
      <c r="S195" s="2"/>
      <c r="T195" s="7">
        <v>6117</v>
      </c>
      <c r="U195" s="2"/>
      <c r="V195" s="6">
        <f t="shared" si="110"/>
        <v>7.9246570710560748E-4</v>
      </c>
      <c r="W195" s="2"/>
      <c r="X195" s="7">
        <f t="shared" si="111"/>
        <v>21145.08</v>
      </c>
      <c r="Y195" s="2"/>
      <c r="Z195" s="6">
        <f t="shared" si="112"/>
        <v>3.4567729279058366</v>
      </c>
    </row>
    <row r="196" spans="1:26" s="25" customFormat="1" outlineLevel="1" collapsed="1" x14ac:dyDescent="0.25">
      <c r="A196" s="27"/>
      <c r="B196" s="13" t="str">
        <f>CONCATENATE("     ","Subscriptions &amp; Dues                              ")</f>
        <v xml:space="preserve">     Subscriptions &amp; Dues                              </v>
      </c>
      <c r="C196" s="13"/>
      <c r="D196" s="1">
        <f>SUM(OSRRefD22_19x_0)</f>
        <v>307.78999999999996</v>
      </c>
      <c r="E196" s="1"/>
      <c r="F196" s="5">
        <f t="shared" ref="F196:F198" si="113">IF(D$12=0,0,D196/D$12)</f>
        <v>1.6737298585108521E-3</v>
      </c>
      <c r="G196" s="1"/>
      <c r="H196" s="1">
        <f>SUM(OSRRefH22_19x_0)</f>
        <v>1100</v>
      </c>
      <c r="I196" s="1"/>
      <c r="J196" s="5">
        <f t="shared" ref="J196:J198" si="114">IF(H$12=0,0,H196/H$12)</f>
        <v>2.6688081830511272E-3</v>
      </c>
      <c r="K196" s="1"/>
      <c r="L196" s="1">
        <f t="shared" ref="L196:L198" si="115">+D196-H196</f>
        <v>-792.21</v>
      </c>
      <c r="M196" s="1"/>
      <c r="N196" s="5">
        <f t="shared" ref="N196:N198" si="116">IF(H196=0,0,L196/H196)</f>
        <v>-0.7201909090909091</v>
      </c>
      <c r="O196" s="13"/>
      <c r="P196" s="1">
        <f>SUM(OSRRefP22_19x_0)</f>
        <v>4334.33</v>
      </c>
      <c r="Q196" s="1"/>
      <c r="R196" s="5">
        <f t="shared" ref="R196:R198" si="117">IF(P$12=0,0,P196/P$12)</f>
        <v>1.0164526126273368E-3</v>
      </c>
      <c r="S196" s="1"/>
      <c r="T196" s="1">
        <f>SUM(OSRRefT22_19x_0)</f>
        <v>11295</v>
      </c>
      <c r="U196" s="1"/>
      <c r="V196" s="5">
        <f t="shared" ref="V196:V198" si="118">IF(T$12=0,0,T196/T$12)</f>
        <v>1.4632826813401726E-3</v>
      </c>
      <c r="W196" s="1"/>
      <c r="X196" s="1">
        <f t="shared" ref="X196:X198" si="119">+P196-T196</f>
        <v>-6960.67</v>
      </c>
      <c r="Y196" s="1"/>
      <c r="Z196" s="5">
        <f t="shared" ref="Z196:Z198" si="120">IF(T196=0,0,X196/T196)</f>
        <v>-0.61626117751217357</v>
      </c>
    </row>
    <row r="197" spans="1:26" s="24" customFormat="1" hidden="1" outlineLevel="2" x14ac:dyDescent="0.25">
      <c r="A197" s="26"/>
      <c r="B197" s="11" t="str">
        <f>CONCATENATE("          ", "6258", " - ", "MEMBERSHIP DUES")</f>
        <v xml:space="preserve">          6258 - MEMBERSHIP DUES</v>
      </c>
      <c r="C197" s="11"/>
      <c r="D197" s="7">
        <v>232.79</v>
      </c>
      <c r="E197" s="2"/>
      <c r="F197" s="6">
        <f t="shared" si="113"/>
        <v>1.2658876953856243E-3</v>
      </c>
      <c r="G197" s="2"/>
      <c r="H197" s="7">
        <v>1100</v>
      </c>
      <c r="I197" s="2"/>
      <c r="J197" s="6">
        <f t="shared" si="114"/>
        <v>2.6688081830511272E-3</v>
      </c>
      <c r="K197" s="2"/>
      <c r="L197" s="7">
        <f t="shared" si="115"/>
        <v>-867.21</v>
      </c>
      <c r="M197" s="2"/>
      <c r="N197" s="6">
        <f t="shared" si="116"/>
        <v>-0.78837272727272734</v>
      </c>
      <c r="O197" s="11"/>
      <c r="P197" s="7">
        <v>2106.52</v>
      </c>
      <c r="Q197" s="2"/>
      <c r="R197" s="6">
        <f t="shared" si="117"/>
        <v>4.9400432305609808E-4</v>
      </c>
      <c r="S197" s="2"/>
      <c r="T197" s="7">
        <v>11295</v>
      </c>
      <c r="U197" s="2"/>
      <c r="V197" s="6">
        <f t="shared" si="118"/>
        <v>1.4632826813401726E-3</v>
      </c>
      <c r="W197" s="2"/>
      <c r="X197" s="7">
        <f t="shared" si="119"/>
        <v>-9188.48</v>
      </c>
      <c r="Y197" s="2"/>
      <c r="Z197" s="6">
        <f t="shared" si="120"/>
        <v>-0.81349977866312528</v>
      </c>
    </row>
    <row r="198" spans="1:26" s="24" customFormat="1" hidden="1" outlineLevel="2" x14ac:dyDescent="0.25">
      <c r="A198" s="26"/>
      <c r="B198" s="11" t="str">
        <f>CONCATENATE("          ", "6275", " - ", "SUBSCRIPTIONS")</f>
        <v xml:space="preserve">          6275 - SUBSCRIPTIONS</v>
      </c>
      <c r="C198" s="11"/>
      <c r="D198" s="7">
        <v>75</v>
      </c>
      <c r="E198" s="2"/>
      <c r="F198" s="6">
        <f t="shared" si="113"/>
        <v>4.0784216312522801E-4</v>
      </c>
      <c r="G198" s="2"/>
      <c r="H198" s="7">
        <v>0</v>
      </c>
      <c r="I198" s="2"/>
      <c r="J198" s="6">
        <f t="shared" si="114"/>
        <v>0</v>
      </c>
      <c r="K198" s="2"/>
      <c r="L198" s="7">
        <f t="shared" si="115"/>
        <v>75</v>
      </c>
      <c r="M198" s="2"/>
      <c r="N198" s="6">
        <f t="shared" si="116"/>
        <v>0</v>
      </c>
      <c r="O198" s="11"/>
      <c r="P198" s="7">
        <v>2227.81</v>
      </c>
      <c r="Q198" s="2"/>
      <c r="R198" s="6">
        <f t="shared" si="117"/>
        <v>5.2244828957123874E-4</v>
      </c>
      <c r="S198" s="2"/>
      <c r="T198" s="7">
        <v>0</v>
      </c>
      <c r="U198" s="2"/>
      <c r="V198" s="6">
        <f t="shared" si="118"/>
        <v>0</v>
      </c>
      <c r="W198" s="2"/>
      <c r="X198" s="7">
        <f t="shared" si="119"/>
        <v>2227.81</v>
      </c>
      <c r="Y198" s="2"/>
      <c r="Z198" s="6">
        <f t="shared" si="120"/>
        <v>0</v>
      </c>
    </row>
    <row r="199" spans="1:26" s="25" customFormat="1" outlineLevel="1" collapsed="1" x14ac:dyDescent="0.25">
      <c r="A199" s="27"/>
      <c r="B199" s="13" t="str">
        <f>CONCATENATE("     ","Supplies                                          ")</f>
        <v xml:space="preserve">     Supplies                                          </v>
      </c>
      <c r="C199" s="13"/>
      <c r="D199" s="1">
        <f>SUM(OSRRefD22_20x_0)</f>
        <v>4097.66</v>
      </c>
      <c r="E199" s="1"/>
      <c r="F199" s="5">
        <f t="shared" ref="F199:F208" si="121">IF(D$12=0,0,D199/D$12)</f>
        <v>2.2282646908689623E-2</v>
      </c>
      <c r="G199" s="1"/>
      <c r="H199" s="1">
        <f>SUM(OSRRefH22_20x_0)</f>
        <v>11820</v>
      </c>
      <c r="I199" s="1"/>
      <c r="J199" s="5">
        <f t="shared" ref="J199:J208" si="122">IF(H$12=0,0,H199/H$12)</f>
        <v>2.867755702151302E-2</v>
      </c>
      <c r="K199" s="1"/>
      <c r="L199" s="1">
        <f t="shared" ref="L199:L208" si="123">+D199-H199</f>
        <v>-7722.34</v>
      </c>
      <c r="M199" s="1"/>
      <c r="N199" s="5">
        <f t="shared" ref="N199:N208" si="124">IF(H199=0,0,L199/H199)</f>
        <v>-0.65332825719120136</v>
      </c>
      <c r="O199" s="13"/>
      <c r="P199" s="1">
        <f>SUM(OSRRefP22_20x_0)</f>
        <v>103004.26999999999</v>
      </c>
      <c r="Q199" s="1"/>
      <c r="R199" s="5">
        <f t="shared" ref="R199:R208" si="125">IF(P$12=0,0,P199/P$12)</f>
        <v>2.4155742491520395E-2</v>
      </c>
      <c r="S199" s="1"/>
      <c r="T199" s="1">
        <f>SUM(OSRRefT22_20x_0)</f>
        <v>133985</v>
      </c>
      <c r="U199" s="1"/>
      <c r="V199" s="5">
        <f t="shared" ref="V199:V208" si="126">IF(T$12=0,0,T199/T$12)</f>
        <v>1.7357939801625765E-2</v>
      </c>
      <c r="W199" s="1"/>
      <c r="X199" s="1">
        <f t="shared" ref="X199:X208" si="127">+P199-T199</f>
        <v>-30980.73000000001</v>
      </c>
      <c r="Y199" s="1"/>
      <c r="Z199" s="5">
        <f t="shared" ref="Z199:Z208" si="128">IF(T199=0,0,X199/T199)</f>
        <v>-0.23122536104787858</v>
      </c>
    </row>
    <row r="200" spans="1:26" s="24" customFormat="1" hidden="1" outlineLevel="2" x14ac:dyDescent="0.25">
      <c r="A200" s="26"/>
      <c r="B200" s="11" t="str">
        <f>CONCATENATE("          ", "6234", " - ", "EXPENDABLE SUPPLIES &amp; EQUIPMEN")</f>
        <v xml:space="preserve">          6234 - EXPENDABLE SUPPLIES &amp; EQUIPMEN</v>
      </c>
      <c r="C200" s="11"/>
      <c r="D200" s="7"/>
      <c r="E200" s="2"/>
      <c r="F200" s="6">
        <f t="shared" si="121"/>
        <v>0</v>
      </c>
      <c r="G200" s="2"/>
      <c r="H200" s="7">
        <v>150</v>
      </c>
      <c r="I200" s="2"/>
      <c r="J200" s="6">
        <f t="shared" si="122"/>
        <v>3.6392838859788094E-4</v>
      </c>
      <c r="K200" s="2"/>
      <c r="L200" s="7">
        <f t="shared" si="123"/>
        <v>-150</v>
      </c>
      <c r="M200" s="2"/>
      <c r="N200" s="6">
        <f t="shared" si="124"/>
        <v>-1</v>
      </c>
      <c r="O200" s="11"/>
      <c r="P200" s="7">
        <v>-52.84</v>
      </c>
      <c r="Q200" s="2"/>
      <c r="R200" s="6">
        <f t="shared" si="125"/>
        <v>-1.2391616709209608E-5</v>
      </c>
      <c r="S200" s="2"/>
      <c r="T200" s="7">
        <v>1350</v>
      </c>
      <c r="U200" s="2"/>
      <c r="V200" s="6">
        <f t="shared" si="126"/>
        <v>1.7489434438328758E-4</v>
      </c>
      <c r="W200" s="2"/>
      <c r="X200" s="7">
        <f t="shared" si="127"/>
        <v>-1402.84</v>
      </c>
      <c r="Y200" s="2"/>
      <c r="Z200" s="6">
        <f t="shared" si="128"/>
        <v>-1.0391407407407407</v>
      </c>
    </row>
    <row r="201" spans="1:26" s="24" customFormat="1" hidden="1" outlineLevel="2" x14ac:dyDescent="0.25">
      <c r="A201" s="26"/>
      <c r="B201" s="11" t="str">
        <f>CONCATENATE("          ", "6235", " - ", "COVID-19 EXPENSES")</f>
        <v xml:space="preserve">          6235 - COVID-19 EXPENSES</v>
      </c>
      <c r="C201" s="11"/>
      <c r="D201" s="7">
        <v>370.83</v>
      </c>
      <c r="E201" s="2"/>
      <c r="F201" s="6">
        <f t="shared" si="121"/>
        <v>2.0165347913563771E-3</v>
      </c>
      <c r="G201" s="2"/>
      <c r="H201" s="7">
        <v>500</v>
      </c>
      <c r="I201" s="2"/>
      <c r="J201" s="6">
        <f t="shared" si="122"/>
        <v>1.2130946286596032E-3</v>
      </c>
      <c r="K201" s="2"/>
      <c r="L201" s="7">
        <f t="shared" si="123"/>
        <v>-129.17000000000002</v>
      </c>
      <c r="M201" s="2"/>
      <c r="N201" s="6">
        <f t="shared" si="124"/>
        <v>-0.25834000000000001</v>
      </c>
      <c r="O201" s="11"/>
      <c r="P201" s="7">
        <v>37662</v>
      </c>
      <c r="Q201" s="2"/>
      <c r="R201" s="6">
        <f t="shared" si="125"/>
        <v>8.8321928179835776E-3</v>
      </c>
      <c r="S201" s="2"/>
      <c r="T201" s="7">
        <v>64100</v>
      </c>
      <c r="U201" s="2"/>
      <c r="V201" s="6">
        <f t="shared" si="126"/>
        <v>8.3042425740509126E-3</v>
      </c>
      <c r="W201" s="2"/>
      <c r="X201" s="7">
        <f t="shared" si="127"/>
        <v>-26438</v>
      </c>
      <c r="Y201" s="2"/>
      <c r="Z201" s="6">
        <f t="shared" si="128"/>
        <v>-0.41244929797191887</v>
      </c>
    </row>
    <row r="202" spans="1:26" s="24" customFormat="1" hidden="1" outlineLevel="2" x14ac:dyDescent="0.25">
      <c r="A202" s="26"/>
      <c r="B202" s="11" t="str">
        <f>CONCATENATE("          ", "6237", " - ", "JANITORIAL SUPPLIES")</f>
        <v xml:space="preserve">          6237 - JANITORIAL SUPPLIES</v>
      </c>
      <c r="C202" s="11"/>
      <c r="D202" s="7">
        <v>637.59</v>
      </c>
      <c r="E202" s="2"/>
      <c r="F202" s="6">
        <f t="shared" si="121"/>
        <v>3.4671477971601884E-3</v>
      </c>
      <c r="G202" s="2"/>
      <c r="H202" s="7">
        <v>270</v>
      </c>
      <c r="I202" s="2"/>
      <c r="J202" s="6">
        <f t="shared" si="122"/>
        <v>6.5507109947618577E-4</v>
      </c>
      <c r="K202" s="2"/>
      <c r="L202" s="7">
        <f t="shared" si="123"/>
        <v>367.59000000000003</v>
      </c>
      <c r="M202" s="2"/>
      <c r="N202" s="6">
        <f t="shared" si="124"/>
        <v>1.3614444444444445</v>
      </c>
      <c r="O202" s="11"/>
      <c r="P202" s="7">
        <v>2901.24</v>
      </c>
      <c r="Q202" s="2"/>
      <c r="R202" s="6">
        <f t="shared" si="125"/>
        <v>6.8037573923972899E-4</v>
      </c>
      <c r="S202" s="2"/>
      <c r="T202" s="7">
        <v>2410</v>
      </c>
      <c r="U202" s="2"/>
      <c r="V202" s="6">
        <f t="shared" si="126"/>
        <v>3.1221879256572075E-4</v>
      </c>
      <c r="W202" s="2"/>
      <c r="X202" s="7">
        <f t="shared" si="127"/>
        <v>491.23999999999978</v>
      </c>
      <c r="Y202" s="2"/>
      <c r="Z202" s="6">
        <f t="shared" si="128"/>
        <v>0.20383402489626548</v>
      </c>
    </row>
    <row r="203" spans="1:26" s="24" customFormat="1" hidden="1" outlineLevel="2" x14ac:dyDescent="0.25">
      <c r="A203" s="26"/>
      <c r="B203" s="11" t="str">
        <f>CONCATENATE("          ", "6241", " - ", "OFFICE EXPENSE")</f>
        <v xml:space="preserve">          6241 - OFFICE EXPENSE</v>
      </c>
      <c r="C203" s="11"/>
      <c r="D203" s="7">
        <v>496.61</v>
      </c>
      <c r="E203" s="2"/>
      <c r="F203" s="6">
        <f t="shared" si="121"/>
        <v>2.7005132883949263E-3</v>
      </c>
      <c r="G203" s="2"/>
      <c r="H203" s="7">
        <v>425</v>
      </c>
      <c r="I203" s="2"/>
      <c r="J203" s="6">
        <f t="shared" si="122"/>
        <v>1.0311304343606628E-3</v>
      </c>
      <c r="K203" s="2"/>
      <c r="L203" s="7">
        <f t="shared" si="123"/>
        <v>71.610000000000014</v>
      </c>
      <c r="M203" s="2"/>
      <c r="N203" s="6">
        <f t="shared" si="124"/>
        <v>0.16849411764705885</v>
      </c>
      <c r="O203" s="11"/>
      <c r="P203" s="7">
        <v>10353.16</v>
      </c>
      <c r="Q203" s="2"/>
      <c r="R203" s="6">
        <f t="shared" si="125"/>
        <v>2.4279407730719254E-3</v>
      </c>
      <c r="S203" s="2"/>
      <c r="T203" s="7">
        <v>5025</v>
      </c>
      <c r="U203" s="2"/>
      <c r="V203" s="6">
        <f t="shared" si="126"/>
        <v>6.5099561520445923E-4</v>
      </c>
      <c r="W203" s="2"/>
      <c r="X203" s="7">
        <f t="shared" si="127"/>
        <v>5328.16</v>
      </c>
      <c r="Y203" s="2"/>
      <c r="Z203" s="6">
        <f t="shared" si="128"/>
        <v>1.0603303482587065</v>
      </c>
    </row>
    <row r="204" spans="1:26" s="24" customFormat="1" hidden="1" outlineLevel="2" x14ac:dyDescent="0.25">
      <c r="A204" s="26"/>
      <c r="B204" s="11" t="str">
        <f>CONCATENATE("          ", "6243", " - ", "PAPER SUPPLIES")</f>
        <v xml:space="preserve">          6243 - PAPER SUPPLIES</v>
      </c>
      <c r="C204" s="11"/>
      <c r="D204" s="7">
        <v>309.25</v>
      </c>
      <c r="E204" s="2"/>
      <c r="F204" s="6">
        <f t="shared" si="121"/>
        <v>1.6816691859530234E-3</v>
      </c>
      <c r="G204" s="2"/>
      <c r="H204" s="7">
        <v>5650</v>
      </c>
      <c r="I204" s="2"/>
      <c r="J204" s="6">
        <f t="shared" si="122"/>
        <v>1.3707969303853516E-2</v>
      </c>
      <c r="K204" s="2"/>
      <c r="L204" s="7">
        <f t="shared" si="123"/>
        <v>-5340.75</v>
      </c>
      <c r="M204" s="2"/>
      <c r="N204" s="6">
        <f t="shared" si="124"/>
        <v>-0.94526548672566368</v>
      </c>
      <c r="O204" s="11"/>
      <c r="P204" s="7">
        <v>6482.65</v>
      </c>
      <c r="Q204" s="2"/>
      <c r="R204" s="6">
        <f t="shared" si="125"/>
        <v>1.5202595393633167E-3</v>
      </c>
      <c r="S204" s="2"/>
      <c r="T204" s="7">
        <v>17250</v>
      </c>
      <c r="U204" s="2"/>
      <c r="V204" s="6">
        <f t="shared" si="126"/>
        <v>2.2347610671197855E-3</v>
      </c>
      <c r="W204" s="2"/>
      <c r="X204" s="7">
        <f t="shared" si="127"/>
        <v>-10767.35</v>
      </c>
      <c r="Y204" s="2"/>
      <c r="Z204" s="6">
        <f t="shared" si="128"/>
        <v>-0.62419420289855077</v>
      </c>
    </row>
    <row r="205" spans="1:26" s="24" customFormat="1" hidden="1" outlineLevel="2" x14ac:dyDescent="0.25">
      <c r="A205" s="26"/>
      <c r="B205" s="11" t="str">
        <f>CONCATENATE("          ", "6244", " - ", "SAFETY SUPPLY EXPENSE")</f>
        <v xml:space="preserve">          6244 - SAFETY SUPPLY EXPENSE</v>
      </c>
      <c r="C205" s="11"/>
      <c r="D205" s="7"/>
      <c r="E205" s="2"/>
      <c r="F205" s="6">
        <f t="shared" si="121"/>
        <v>0</v>
      </c>
      <c r="G205" s="2"/>
      <c r="H205" s="7">
        <v>0</v>
      </c>
      <c r="I205" s="2"/>
      <c r="J205" s="6">
        <f t="shared" si="122"/>
        <v>0</v>
      </c>
      <c r="K205" s="2"/>
      <c r="L205" s="7">
        <f t="shared" si="123"/>
        <v>0</v>
      </c>
      <c r="M205" s="2"/>
      <c r="N205" s="6">
        <f t="shared" si="124"/>
        <v>0</v>
      </c>
      <c r="O205" s="11"/>
      <c r="P205" s="7"/>
      <c r="Q205" s="2"/>
      <c r="R205" s="6">
        <f t="shared" si="125"/>
        <v>0</v>
      </c>
      <c r="S205" s="2"/>
      <c r="T205" s="7">
        <v>75</v>
      </c>
      <c r="U205" s="2"/>
      <c r="V205" s="6">
        <f t="shared" si="126"/>
        <v>9.7163524657381974E-6</v>
      </c>
      <c r="W205" s="2"/>
      <c r="X205" s="7">
        <f t="shared" si="127"/>
        <v>-75</v>
      </c>
      <c r="Y205" s="2"/>
      <c r="Z205" s="6">
        <f t="shared" si="128"/>
        <v>-1</v>
      </c>
    </row>
    <row r="206" spans="1:26" s="24" customFormat="1" hidden="1" outlineLevel="2" x14ac:dyDescent="0.25">
      <c r="A206" s="26"/>
      <c r="B206" s="11" t="str">
        <f>CONCATENATE("          ", "6245", " - ", "PRINTING")</f>
        <v xml:space="preserve">          6245 - PRINTING</v>
      </c>
      <c r="C206" s="11"/>
      <c r="D206" s="7">
        <v>447.27</v>
      </c>
      <c r="E206" s="2"/>
      <c r="F206" s="6">
        <f t="shared" si="121"/>
        <v>2.4322075240136094E-3</v>
      </c>
      <c r="G206" s="2"/>
      <c r="H206" s="7">
        <v>350</v>
      </c>
      <c r="I206" s="2"/>
      <c r="J206" s="6">
        <f t="shared" si="122"/>
        <v>8.4916624006172229E-4</v>
      </c>
      <c r="K206" s="2"/>
      <c r="L206" s="7">
        <f t="shared" si="123"/>
        <v>97.269999999999982</v>
      </c>
      <c r="M206" s="2"/>
      <c r="N206" s="6">
        <f t="shared" si="124"/>
        <v>0.27791428571428567</v>
      </c>
      <c r="O206" s="11"/>
      <c r="P206" s="7">
        <v>1354.21</v>
      </c>
      <c r="Q206" s="2"/>
      <c r="R206" s="6">
        <f t="shared" si="125"/>
        <v>3.1757856290270139E-4</v>
      </c>
      <c r="S206" s="2"/>
      <c r="T206" s="7">
        <v>4250</v>
      </c>
      <c r="U206" s="2"/>
      <c r="V206" s="6">
        <f t="shared" si="126"/>
        <v>5.5059330639183122E-4</v>
      </c>
      <c r="W206" s="2"/>
      <c r="X206" s="7">
        <f t="shared" si="127"/>
        <v>-2895.79</v>
      </c>
      <c r="Y206" s="2"/>
      <c r="Z206" s="6">
        <f t="shared" si="128"/>
        <v>-0.68136235294117642</v>
      </c>
    </row>
    <row r="207" spans="1:26" s="24" customFormat="1" hidden="1" outlineLevel="2" x14ac:dyDescent="0.25">
      <c r="A207" s="26"/>
      <c r="B207" s="11" t="str">
        <f>CONCATENATE("          ", "6247", " - ", "STORE SUPPLIES")</f>
        <v xml:space="preserve">          6247 - STORE SUPPLIES</v>
      </c>
      <c r="C207" s="11"/>
      <c r="D207" s="7">
        <v>1836.11</v>
      </c>
      <c r="E207" s="2"/>
      <c r="F207" s="6">
        <f t="shared" si="121"/>
        <v>9.9845743218114971E-3</v>
      </c>
      <c r="G207" s="2"/>
      <c r="H207" s="7">
        <v>2975</v>
      </c>
      <c r="I207" s="2"/>
      <c r="J207" s="6">
        <f t="shared" si="122"/>
        <v>7.2179130405246395E-3</v>
      </c>
      <c r="K207" s="2"/>
      <c r="L207" s="7">
        <f t="shared" si="123"/>
        <v>-1138.8900000000001</v>
      </c>
      <c r="M207" s="2"/>
      <c r="N207" s="6">
        <f t="shared" si="124"/>
        <v>-0.38282016806722691</v>
      </c>
      <c r="O207" s="11"/>
      <c r="P207" s="7">
        <v>44303.85</v>
      </c>
      <c r="Q207" s="2"/>
      <c r="R207" s="6">
        <f t="shared" si="125"/>
        <v>1.0389786675668358E-2</v>
      </c>
      <c r="S207" s="2"/>
      <c r="T207" s="7">
        <v>25825</v>
      </c>
      <c r="U207" s="2"/>
      <c r="V207" s="6">
        <f t="shared" si="126"/>
        <v>3.3456640323691863E-3</v>
      </c>
      <c r="W207" s="2"/>
      <c r="X207" s="7">
        <f t="shared" si="127"/>
        <v>18478.849999999999</v>
      </c>
      <c r="Y207" s="2"/>
      <c r="Z207" s="6">
        <f t="shared" si="128"/>
        <v>0.71554114230396892</v>
      </c>
    </row>
    <row r="208" spans="1:26" s="24" customFormat="1" hidden="1" outlineLevel="2" x14ac:dyDescent="0.25">
      <c r="A208" s="26"/>
      <c r="B208" s="11" t="str">
        <f>CONCATENATE("          ", "6248", " - ", "UNIFORMS")</f>
        <v xml:space="preserve">          6248 - UNIFORMS</v>
      </c>
      <c r="C208" s="11"/>
      <c r="D208" s="7"/>
      <c r="E208" s="2"/>
      <c r="F208" s="6">
        <f t="shared" si="121"/>
        <v>0</v>
      </c>
      <c r="G208" s="2"/>
      <c r="H208" s="7">
        <v>1500</v>
      </c>
      <c r="I208" s="2"/>
      <c r="J208" s="6">
        <f t="shared" si="122"/>
        <v>3.6392838859788095E-3</v>
      </c>
      <c r="K208" s="2"/>
      <c r="L208" s="7">
        <f t="shared" si="123"/>
        <v>-1500</v>
      </c>
      <c r="M208" s="2"/>
      <c r="N208" s="6">
        <f t="shared" si="124"/>
        <v>-1</v>
      </c>
      <c r="O208" s="11"/>
      <c r="P208" s="7"/>
      <c r="Q208" s="2"/>
      <c r="R208" s="6">
        <f t="shared" si="125"/>
        <v>0</v>
      </c>
      <c r="S208" s="2"/>
      <c r="T208" s="7">
        <v>13700</v>
      </c>
      <c r="U208" s="2"/>
      <c r="V208" s="6">
        <f t="shared" si="126"/>
        <v>1.7748537170748442E-3</v>
      </c>
      <c r="W208" s="2"/>
      <c r="X208" s="7">
        <f t="shared" si="127"/>
        <v>-13700</v>
      </c>
      <c r="Y208" s="2"/>
      <c r="Z208" s="6">
        <f t="shared" si="128"/>
        <v>-1</v>
      </c>
    </row>
    <row r="209" spans="1:26" s="25" customFormat="1" outlineLevel="1" collapsed="1" x14ac:dyDescent="0.25">
      <c r="A209" s="27"/>
      <c r="B209" s="13" t="str">
        <f>CONCATENATE("     ","Telephone/Data Lines                              ")</f>
        <v xml:space="preserve">     Telephone/Data Lines                              </v>
      </c>
      <c r="C209" s="13"/>
      <c r="D209" s="1">
        <f>SUM(OSRRefD22_21x_0)</f>
        <v>1440.07</v>
      </c>
      <c r="E209" s="1"/>
      <c r="F209" s="5">
        <f t="shared" ref="F209:F211" si="129">IF(D$12=0,0,D209/D$12)</f>
        <v>7.830950184689961E-3</v>
      </c>
      <c r="G209" s="1"/>
      <c r="H209" s="1">
        <f>SUM(OSRRefH22_21x_0)</f>
        <v>2295</v>
      </c>
      <c r="I209" s="1"/>
      <c r="J209" s="5">
        <f t="shared" ref="J209:J211" si="130">IF(H$12=0,0,H209/H$12)</f>
        <v>5.5681043455475792E-3</v>
      </c>
      <c r="K209" s="1"/>
      <c r="L209" s="1">
        <f t="shared" ref="L209:L211" si="131">+D209-H209</f>
        <v>-854.93000000000006</v>
      </c>
      <c r="M209" s="1"/>
      <c r="N209" s="5">
        <f t="shared" ref="N209:N211" si="132">IF(H209=0,0,L209/H209)</f>
        <v>-0.37251851851851853</v>
      </c>
      <c r="O209" s="13"/>
      <c r="P209" s="1">
        <f>SUM(OSRRefP22_21x_0)</f>
        <v>19868.669999999998</v>
      </c>
      <c r="Q209" s="1"/>
      <c r="R209" s="5">
        <f t="shared" ref="R209:R211" si="133">IF(P$12=0,0,P209/P$12)</f>
        <v>4.6594425276641109E-3</v>
      </c>
      <c r="S209" s="1"/>
      <c r="T209" s="1">
        <f>SUM(OSRRefT22_21x_0)</f>
        <v>22955</v>
      </c>
      <c r="U209" s="1"/>
      <c r="V209" s="5">
        <f t="shared" ref="V209:V211" si="134">IF(T$12=0,0,T209/T$12)</f>
        <v>2.9738516113469379E-3</v>
      </c>
      <c r="W209" s="1"/>
      <c r="X209" s="1">
        <f t="shared" ref="X209:X211" si="135">+P209-T209</f>
        <v>-3086.3300000000017</v>
      </c>
      <c r="Y209" s="1"/>
      <c r="Z209" s="5">
        <f t="shared" ref="Z209:Z211" si="136">IF(T209=0,0,X209/T209)</f>
        <v>-0.13445131779568728</v>
      </c>
    </row>
    <row r="210" spans="1:26" s="24" customFormat="1" hidden="1" outlineLevel="2" x14ac:dyDescent="0.25">
      <c r="A210" s="26"/>
      <c r="B210" s="11" t="str">
        <f>CONCATENATE("          ", "6303", " - ", "DATA PHONE LINES")</f>
        <v xml:space="preserve">          6303 - DATA PHONE LINES</v>
      </c>
      <c r="C210" s="11"/>
      <c r="D210" s="7"/>
      <c r="E210" s="2"/>
      <c r="F210" s="6">
        <f t="shared" si="129"/>
        <v>0</v>
      </c>
      <c r="G210" s="2"/>
      <c r="H210" s="7">
        <v>630</v>
      </c>
      <c r="I210" s="2"/>
      <c r="J210" s="6">
        <f t="shared" si="130"/>
        <v>1.5284992321111001E-3</v>
      </c>
      <c r="K210" s="2"/>
      <c r="L210" s="7">
        <f t="shared" si="131"/>
        <v>-630</v>
      </c>
      <c r="M210" s="2"/>
      <c r="N210" s="6">
        <f t="shared" si="132"/>
        <v>-1</v>
      </c>
      <c r="O210" s="11"/>
      <c r="P210" s="7">
        <v>2950</v>
      </c>
      <c r="Q210" s="2"/>
      <c r="R210" s="6">
        <f t="shared" si="133"/>
        <v>6.9181054678592617E-4</v>
      </c>
      <c r="S210" s="2"/>
      <c r="T210" s="7">
        <v>5670</v>
      </c>
      <c r="U210" s="2"/>
      <c r="V210" s="6">
        <f t="shared" si="134"/>
        <v>7.3455624640980774E-4</v>
      </c>
      <c r="W210" s="2"/>
      <c r="X210" s="7">
        <f t="shared" si="135"/>
        <v>-2720</v>
      </c>
      <c r="Y210" s="2"/>
      <c r="Z210" s="6">
        <f t="shared" si="136"/>
        <v>-0.47971781305114636</v>
      </c>
    </row>
    <row r="211" spans="1:26" s="24" customFormat="1" hidden="1" outlineLevel="2" x14ac:dyDescent="0.25">
      <c r="A211" s="26"/>
      <c r="B211" s="11" t="str">
        <f>CONCATENATE("          ", "6309", " - ", "TELEPHONE")</f>
        <v xml:space="preserve">          6309 - TELEPHONE</v>
      </c>
      <c r="C211" s="11"/>
      <c r="D211" s="7">
        <v>1440.07</v>
      </c>
      <c r="E211" s="2"/>
      <c r="F211" s="6">
        <f t="shared" si="129"/>
        <v>7.830950184689961E-3</v>
      </c>
      <c r="G211" s="2"/>
      <c r="H211" s="7">
        <v>1665</v>
      </c>
      <c r="I211" s="2"/>
      <c r="J211" s="6">
        <f t="shared" si="130"/>
        <v>4.0396051134364789E-3</v>
      </c>
      <c r="K211" s="2"/>
      <c r="L211" s="7">
        <f t="shared" si="131"/>
        <v>-224.93000000000006</v>
      </c>
      <c r="M211" s="2"/>
      <c r="N211" s="6">
        <f t="shared" si="132"/>
        <v>-0.13509309309309314</v>
      </c>
      <c r="O211" s="11"/>
      <c r="P211" s="7">
        <v>16918.669999999998</v>
      </c>
      <c r="Q211" s="2"/>
      <c r="R211" s="6">
        <f t="shared" si="133"/>
        <v>3.9676319808781843E-3</v>
      </c>
      <c r="S211" s="2"/>
      <c r="T211" s="7">
        <v>17285</v>
      </c>
      <c r="U211" s="2"/>
      <c r="V211" s="6">
        <f t="shared" si="134"/>
        <v>2.2392953649371301E-3</v>
      </c>
      <c r="W211" s="2"/>
      <c r="X211" s="7">
        <f t="shared" si="135"/>
        <v>-366.33000000000175</v>
      </c>
      <c r="Y211" s="2"/>
      <c r="Z211" s="6">
        <f t="shared" si="136"/>
        <v>-2.1193520393404788E-2</v>
      </c>
    </row>
    <row r="212" spans="1:26" s="25" customFormat="1" outlineLevel="1" collapsed="1" x14ac:dyDescent="0.25">
      <c r="A212" s="27"/>
      <c r="B212" s="13" t="str">
        <f>CONCATENATE("     ","Training                                          ")</f>
        <v xml:space="preserve">     Training                                          </v>
      </c>
      <c r="C212" s="13"/>
      <c r="D212" s="1">
        <f>SUM(OSRRefD22_22x_0)</f>
        <v>0</v>
      </c>
      <c r="E212" s="1"/>
      <c r="F212" s="5">
        <f t="shared" ref="F212:F217" si="137">IF(D$12=0,0,D212/D$12)</f>
        <v>0</v>
      </c>
      <c r="G212" s="1"/>
      <c r="H212" s="1">
        <f>SUM(OSRRefH22_22x_0)</f>
        <v>0</v>
      </c>
      <c r="I212" s="1"/>
      <c r="J212" s="5">
        <f t="shared" ref="J212:J217" si="138">IF(H$12=0,0,H212/H$12)</f>
        <v>0</v>
      </c>
      <c r="K212" s="1"/>
      <c r="L212" s="1">
        <f t="shared" ref="L212:L217" si="139">+D212-H212</f>
        <v>0</v>
      </c>
      <c r="M212" s="1"/>
      <c r="N212" s="5">
        <f t="shared" ref="N212:N217" si="140">IF(H212=0,0,L212/H212)</f>
        <v>0</v>
      </c>
      <c r="O212" s="13"/>
      <c r="P212" s="1">
        <f>SUM(OSRRefP22_22x_0)</f>
        <v>895.63</v>
      </c>
      <c r="Q212" s="1"/>
      <c r="R212" s="5">
        <f t="shared" ref="R212:R217" si="141">IF(P$12=0,0,P212/P$12)</f>
        <v>2.1003602712470478E-4</v>
      </c>
      <c r="S212" s="1"/>
      <c r="T212" s="1">
        <f>SUM(OSRRefT22_22x_0)</f>
        <v>11970</v>
      </c>
      <c r="U212" s="1"/>
      <c r="V212" s="5">
        <f t="shared" ref="V212:V217" si="142">IF(T$12=0,0,T212/T$12)</f>
        <v>1.5507298535318164E-3</v>
      </c>
      <c r="W212" s="1"/>
      <c r="X212" s="1">
        <f t="shared" ref="X212:X217" si="143">+P212-T212</f>
        <v>-11074.37</v>
      </c>
      <c r="Y212" s="1"/>
      <c r="Z212" s="5">
        <f t="shared" ref="Z212:Z217" si="144">IF(T212=0,0,X212/T212)</f>
        <v>-0.92517710944026743</v>
      </c>
    </row>
    <row r="213" spans="1:26" s="24" customFormat="1" hidden="1" outlineLevel="2" x14ac:dyDescent="0.25">
      <c r="A213" s="26"/>
      <c r="B213" s="11" t="str">
        <f>CONCATENATE("          ", "6376", " - ", "TRAINING")</f>
        <v xml:space="preserve">          6376 - TRAINING</v>
      </c>
      <c r="C213" s="11"/>
      <c r="D213" s="7"/>
      <c r="E213" s="2"/>
      <c r="F213" s="6">
        <f t="shared" si="137"/>
        <v>0</v>
      </c>
      <c r="G213" s="2"/>
      <c r="H213" s="7">
        <v>0</v>
      </c>
      <c r="I213" s="2"/>
      <c r="J213" s="6">
        <f t="shared" si="138"/>
        <v>0</v>
      </c>
      <c r="K213" s="2"/>
      <c r="L213" s="7">
        <f t="shared" si="139"/>
        <v>0</v>
      </c>
      <c r="M213" s="2"/>
      <c r="N213" s="6">
        <f t="shared" si="140"/>
        <v>0</v>
      </c>
      <c r="O213" s="11"/>
      <c r="P213" s="7">
        <v>895.63</v>
      </c>
      <c r="Q213" s="2"/>
      <c r="R213" s="6">
        <f t="shared" si="141"/>
        <v>2.1003602712470478E-4</v>
      </c>
      <c r="S213" s="2"/>
      <c r="T213" s="7">
        <v>11970</v>
      </c>
      <c r="U213" s="2"/>
      <c r="V213" s="6">
        <f t="shared" si="142"/>
        <v>1.5507298535318164E-3</v>
      </c>
      <c r="W213" s="2"/>
      <c r="X213" s="7">
        <f t="shared" si="143"/>
        <v>-11074.37</v>
      </c>
      <c r="Y213" s="2"/>
      <c r="Z213" s="6">
        <f t="shared" si="144"/>
        <v>-0.92517710944026743</v>
      </c>
    </row>
    <row r="214" spans="1:26" s="25" customFormat="1" outlineLevel="1" collapsed="1" x14ac:dyDescent="0.25">
      <c r="A214" s="27"/>
      <c r="B214" s="13" t="str">
        <f>CONCATENATE("     ","Travel                                            ")</f>
        <v xml:space="preserve">     Travel                                            </v>
      </c>
      <c r="C214" s="13"/>
      <c r="D214" s="1">
        <f>SUM(OSRRefD22_23x_0)</f>
        <v>93.02</v>
      </c>
      <c r="E214" s="1"/>
      <c r="F214" s="5">
        <f t="shared" si="137"/>
        <v>5.0583304018544939E-4</v>
      </c>
      <c r="G214" s="1"/>
      <c r="H214" s="1">
        <f>SUM(OSRRefH22_23x_0)</f>
        <v>50</v>
      </c>
      <c r="I214" s="1"/>
      <c r="J214" s="5">
        <f t="shared" si="138"/>
        <v>1.2130946286596032E-4</v>
      </c>
      <c r="K214" s="1"/>
      <c r="L214" s="1">
        <f t="shared" si="139"/>
        <v>43.019999999999996</v>
      </c>
      <c r="M214" s="1"/>
      <c r="N214" s="5">
        <f t="shared" si="140"/>
        <v>0.86039999999999994</v>
      </c>
      <c r="O214" s="13"/>
      <c r="P214" s="1">
        <f>SUM(OSRRefP22_23x_0)</f>
        <v>903.33</v>
      </c>
      <c r="Q214" s="1"/>
      <c r="R214" s="5">
        <f t="shared" si="141"/>
        <v>2.1184176990784092E-4</v>
      </c>
      <c r="S214" s="1"/>
      <c r="T214" s="1">
        <f>SUM(OSRRefT22_23x_0)</f>
        <v>650</v>
      </c>
      <c r="U214" s="1"/>
      <c r="V214" s="5">
        <f t="shared" si="142"/>
        <v>8.4208388036397709E-5</v>
      </c>
      <c r="W214" s="1"/>
      <c r="X214" s="1">
        <f t="shared" si="143"/>
        <v>253.33000000000004</v>
      </c>
      <c r="Y214" s="1"/>
      <c r="Z214" s="5">
        <f t="shared" si="144"/>
        <v>0.38973846153846159</v>
      </c>
    </row>
    <row r="215" spans="1:26" s="24" customFormat="1" hidden="1" outlineLevel="2" x14ac:dyDescent="0.25">
      <c r="A215" s="26"/>
      <c r="B215" s="11" t="str">
        <f>CONCATENATE("          ", "6292", " - ", "TRAVEL/CONFERENCE")</f>
        <v xml:space="preserve">          6292 - TRAVEL/CONFERENCE</v>
      </c>
      <c r="C215" s="11"/>
      <c r="D215" s="7"/>
      <c r="E215" s="2"/>
      <c r="F215" s="6">
        <f t="shared" si="137"/>
        <v>0</v>
      </c>
      <c r="G215" s="2"/>
      <c r="H215" s="7"/>
      <c r="I215" s="2"/>
      <c r="J215" s="6">
        <f t="shared" si="138"/>
        <v>0</v>
      </c>
      <c r="K215" s="2"/>
      <c r="L215" s="7">
        <f t="shared" si="139"/>
        <v>0</v>
      </c>
      <c r="M215" s="2"/>
      <c r="N215" s="6">
        <f t="shared" si="140"/>
        <v>0</v>
      </c>
      <c r="O215" s="11"/>
      <c r="P215" s="7">
        <v>299.16000000000003</v>
      </c>
      <c r="Q215" s="2"/>
      <c r="R215" s="6">
        <f t="shared" si="141"/>
        <v>7.0156624805585657E-5</v>
      </c>
      <c r="S215" s="2"/>
      <c r="T215" s="7">
        <v>0</v>
      </c>
      <c r="U215" s="2"/>
      <c r="V215" s="6">
        <f t="shared" si="142"/>
        <v>0</v>
      </c>
      <c r="W215" s="2"/>
      <c r="X215" s="7">
        <f t="shared" si="143"/>
        <v>299.16000000000003</v>
      </c>
      <c r="Y215" s="2"/>
      <c r="Z215" s="6">
        <f t="shared" si="144"/>
        <v>0</v>
      </c>
    </row>
    <row r="216" spans="1:26" s="24" customFormat="1" hidden="1" outlineLevel="2" x14ac:dyDescent="0.25">
      <c r="A216" s="26"/>
      <c r="B216" s="11" t="str">
        <f>CONCATENATE("          ", "6294", " - ", "TRAVEL OPERATIONAL")</f>
        <v xml:space="preserve">          6294 - TRAVEL OPERATIONAL</v>
      </c>
      <c r="C216" s="11"/>
      <c r="D216" s="7">
        <v>93.02</v>
      </c>
      <c r="E216" s="2"/>
      <c r="F216" s="6">
        <f t="shared" si="137"/>
        <v>5.0583304018544939E-4</v>
      </c>
      <c r="G216" s="2"/>
      <c r="H216" s="7">
        <v>25</v>
      </c>
      <c r="I216" s="2"/>
      <c r="J216" s="6">
        <f t="shared" si="138"/>
        <v>6.0654731432980161E-5</v>
      </c>
      <c r="K216" s="2"/>
      <c r="L216" s="7">
        <f t="shared" si="139"/>
        <v>68.02</v>
      </c>
      <c r="M216" s="2"/>
      <c r="N216" s="6">
        <f t="shared" si="140"/>
        <v>2.7207999999999997</v>
      </c>
      <c r="O216" s="11"/>
      <c r="P216" s="7">
        <v>544.28</v>
      </c>
      <c r="Q216" s="2"/>
      <c r="R216" s="6">
        <f t="shared" si="141"/>
        <v>1.2764021844225218E-4</v>
      </c>
      <c r="S216" s="2"/>
      <c r="T216" s="7">
        <v>225</v>
      </c>
      <c r="U216" s="2"/>
      <c r="V216" s="6">
        <f t="shared" si="142"/>
        <v>2.9149057397214594E-5</v>
      </c>
      <c r="W216" s="2"/>
      <c r="X216" s="7">
        <f t="shared" si="143"/>
        <v>319.27999999999997</v>
      </c>
      <c r="Y216" s="2"/>
      <c r="Z216" s="6">
        <f t="shared" si="144"/>
        <v>1.4190222222222222</v>
      </c>
    </row>
    <row r="217" spans="1:26" s="24" customFormat="1" hidden="1" outlineLevel="2" x14ac:dyDescent="0.25">
      <c r="A217" s="26"/>
      <c r="B217" s="11" t="str">
        <f>CONCATENATE("          ", "6298", " - ", "VEHICLE MILEAGE")</f>
        <v xml:space="preserve">          6298 - VEHICLE MILEAGE</v>
      </c>
      <c r="C217" s="11"/>
      <c r="D217" s="7"/>
      <c r="E217" s="2"/>
      <c r="F217" s="6">
        <f t="shared" si="137"/>
        <v>0</v>
      </c>
      <c r="G217" s="2"/>
      <c r="H217" s="7">
        <v>25</v>
      </c>
      <c r="I217" s="2"/>
      <c r="J217" s="6">
        <f t="shared" si="138"/>
        <v>6.0654731432980161E-5</v>
      </c>
      <c r="K217" s="2"/>
      <c r="L217" s="7">
        <f t="shared" si="139"/>
        <v>-25</v>
      </c>
      <c r="M217" s="2"/>
      <c r="N217" s="6">
        <f t="shared" si="140"/>
        <v>-1</v>
      </c>
      <c r="O217" s="11"/>
      <c r="P217" s="7">
        <v>59.89</v>
      </c>
      <c r="Q217" s="2"/>
      <c r="R217" s="6">
        <f t="shared" si="141"/>
        <v>1.4044926660003091E-5</v>
      </c>
      <c r="S217" s="2"/>
      <c r="T217" s="7">
        <v>425</v>
      </c>
      <c r="U217" s="2"/>
      <c r="V217" s="6">
        <f t="shared" si="142"/>
        <v>5.5059330639183122E-5</v>
      </c>
      <c r="W217" s="2"/>
      <c r="X217" s="7">
        <f t="shared" si="143"/>
        <v>-365.11</v>
      </c>
      <c r="Y217" s="2"/>
      <c r="Z217" s="6">
        <f t="shared" si="144"/>
        <v>-0.85908235294117652</v>
      </c>
    </row>
    <row r="218" spans="1:26" s="25" customFormat="1" outlineLevel="1" collapsed="1" x14ac:dyDescent="0.25">
      <c r="A218" s="27"/>
      <c r="B218" s="13" t="str">
        <f>CONCATENATE("     ","Utilities                                         ")</f>
        <v xml:space="preserve">     Utilities                                         </v>
      </c>
      <c r="C218" s="13"/>
      <c r="D218" s="1">
        <f>SUM(OSRRefD22_24x_0)</f>
        <v>3429.45</v>
      </c>
      <c r="E218" s="1"/>
      <c r="F218" s="5">
        <f t="shared" ref="F218:F219" si="145">IF(D$12=0,0,D218/D$12)</f>
        <v>1.8648990751064173E-2</v>
      </c>
      <c r="G218" s="1"/>
      <c r="H218" s="1">
        <f>SUM(OSRRefH22_24x_0)</f>
        <v>6150</v>
      </c>
      <c r="I218" s="1"/>
      <c r="J218" s="5">
        <f t="shared" ref="J218:J219" si="146">IF(H$12=0,0,H218/H$12)</f>
        <v>1.4921063932513119E-2</v>
      </c>
      <c r="K218" s="1"/>
      <c r="L218" s="1">
        <f t="shared" ref="L218:L219" si="147">+D218-H218</f>
        <v>-2720.55</v>
      </c>
      <c r="M218" s="1"/>
      <c r="N218" s="5">
        <f t="shared" ref="N218:N219" si="148">IF(H218=0,0,L218/H218)</f>
        <v>-0.44236585365853659</v>
      </c>
      <c r="O218" s="13"/>
      <c r="P218" s="1">
        <f>SUM(OSRRefP22_24x_0)</f>
        <v>52517.62</v>
      </c>
      <c r="Q218" s="1"/>
      <c r="R218" s="5">
        <f t="shared" ref="R218:R219" si="149">IF(P$12=0,0,P218/P$12)</f>
        <v>1.2316014714608643E-2</v>
      </c>
      <c r="S218" s="1"/>
      <c r="T218" s="1">
        <f>SUM(OSRRefT22_24x_0)</f>
        <v>57925</v>
      </c>
      <c r="U218" s="1"/>
      <c r="V218" s="5">
        <f t="shared" ref="V218:V219" si="150">IF(T$12=0,0,T218/T$12)</f>
        <v>7.5042628877051345E-3</v>
      </c>
      <c r="W218" s="1"/>
      <c r="X218" s="1">
        <f t="shared" ref="X218:X219" si="151">+P218-T218</f>
        <v>-5407.3799999999974</v>
      </c>
      <c r="Y218" s="1"/>
      <c r="Z218" s="5">
        <f t="shared" ref="Z218:Z219" si="152">IF(T218=0,0,X218/T218)</f>
        <v>-9.3351402675873926E-2</v>
      </c>
    </row>
    <row r="219" spans="1:26" s="24" customFormat="1" hidden="1" outlineLevel="2" x14ac:dyDescent="0.25">
      <c r="A219" s="26"/>
      <c r="B219" s="11" t="str">
        <f>CONCATENATE("          ", "6274", " - ", "UTILITIES")</f>
        <v xml:space="preserve">          6274 - UTILITIES</v>
      </c>
      <c r="C219" s="11"/>
      <c r="D219" s="7">
        <v>3429.45</v>
      </c>
      <c r="E219" s="2"/>
      <c r="F219" s="6">
        <f t="shared" si="145"/>
        <v>1.8648990751064173E-2</v>
      </c>
      <c r="G219" s="2"/>
      <c r="H219" s="7">
        <v>6150</v>
      </c>
      <c r="I219" s="2"/>
      <c r="J219" s="6">
        <f t="shared" si="146"/>
        <v>1.4921063932513119E-2</v>
      </c>
      <c r="K219" s="2"/>
      <c r="L219" s="7">
        <f t="shared" si="147"/>
        <v>-2720.55</v>
      </c>
      <c r="M219" s="2"/>
      <c r="N219" s="6">
        <f t="shared" si="148"/>
        <v>-0.44236585365853659</v>
      </c>
      <c r="O219" s="11"/>
      <c r="P219" s="7">
        <v>52517.62</v>
      </c>
      <c r="Q219" s="2"/>
      <c r="R219" s="6">
        <f t="shared" si="149"/>
        <v>1.2316014714608643E-2</v>
      </c>
      <c r="S219" s="2"/>
      <c r="T219" s="7">
        <v>57925</v>
      </c>
      <c r="U219" s="2"/>
      <c r="V219" s="6">
        <f t="shared" si="150"/>
        <v>7.5042628877051345E-3</v>
      </c>
      <c r="W219" s="2"/>
      <c r="X219" s="7">
        <f t="shared" si="151"/>
        <v>-5407.3799999999974</v>
      </c>
      <c r="Y219" s="2"/>
      <c r="Z219" s="6">
        <f t="shared" si="152"/>
        <v>-9.3351402675873926E-2</v>
      </c>
    </row>
    <row r="220" spans="1:26" s="59" customFormat="1" x14ac:dyDescent="0.25">
      <c r="A220" s="36"/>
      <c r="B220" s="36"/>
      <c r="C220" s="36"/>
      <c r="D220" s="1"/>
      <c r="E220" s="1"/>
      <c r="F220" s="5"/>
      <c r="G220" s="1"/>
      <c r="H220" s="1"/>
      <c r="I220" s="1"/>
      <c r="J220" s="5"/>
      <c r="K220" s="1"/>
      <c r="L220" s="1"/>
      <c r="M220" s="1"/>
      <c r="N220" s="5"/>
      <c r="O220" s="36"/>
      <c r="P220" s="1"/>
      <c r="Q220" s="1"/>
      <c r="R220" s="5"/>
      <c r="S220" s="1"/>
      <c r="T220" s="1"/>
      <c r="U220" s="1"/>
      <c r="V220" s="5"/>
      <c r="W220" s="1"/>
      <c r="X220" s="1"/>
      <c r="Y220" s="1"/>
      <c r="Z220" s="5"/>
    </row>
    <row r="221" spans="1:26" s="23" customFormat="1" collapsed="1" x14ac:dyDescent="0.25">
      <c r="A221" s="10"/>
      <c r="B221" s="28" t="s">
        <v>293</v>
      </c>
      <c r="C221" s="10"/>
      <c r="D221" s="4">
        <f>SUM(OSRRefD25x_0)</f>
        <v>189046.82</v>
      </c>
      <c r="E221" s="4"/>
      <c r="F221" s="12">
        <f t="shared" ref="F221:F225" si="153">IF(D$12=0,0,D221/D$12)</f>
        <v>1.028016853343275</v>
      </c>
      <c r="G221" s="4"/>
      <c r="H221" s="4">
        <f>SUM(OSRRefH25x_0)</f>
        <v>207845</v>
      </c>
      <c r="I221" s="4"/>
      <c r="J221" s="12">
        <f t="shared" ref="J221:J225" si="154">IF(H$12=0,0,H221/H$12)</f>
        <v>0.50427130618751048</v>
      </c>
      <c r="K221" s="4"/>
      <c r="L221" s="4">
        <f t="shared" ref="L221:L225" si="155">+D221-H221</f>
        <v>-18798.179999999993</v>
      </c>
      <c r="M221" s="4"/>
      <c r="N221" s="12">
        <f t="shared" ref="N221:N225" si="156">IF(H221=0,0,L221/H221)</f>
        <v>-9.044326300849187E-2</v>
      </c>
      <c r="O221" s="10"/>
      <c r="P221" s="4">
        <f>SUM(OSRRefP25x_0)</f>
        <v>962302.23</v>
      </c>
      <c r="Q221" s="4"/>
      <c r="R221" s="12">
        <f t="shared" ref="R221:R225" si="157">IF(P$12=0,0,P221/P$12)</f>
        <v>0.22567146844393765</v>
      </c>
      <c r="S221" s="4"/>
      <c r="T221" s="4">
        <f>SUM(OSRRefT25x_0)</f>
        <v>836745</v>
      </c>
      <c r="U221" s="4"/>
      <c r="V221" s="12">
        <f t="shared" ref="V221:V225" si="158">IF(T$12=0,0,T221/T$12)</f>
        <v>0.10840145791925478</v>
      </c>
      <c r="W221" s="4"/>
      <c r="X221" s="4">
        <f t="shared" ref="X221:X225" si="159">+P221-T221</f>
        <v>125557.22999999998</v>
      </c>
      <c r="Y221" s="4"/>
      <c r="Z221" s="12">
        <f t="shared" ref="Z221:Z225" si="160">IF(T221=0,0,X221/T221)</f>
        <v>0.15005435347686569</v>
      </c>
    </row>
    <row r="222" spans="1:26" s="24" customFormat="1" hidden="1" outlineLevel="1" x14ac:dyDescent="0.25">
      <c r="A222" s="44"/>
      <c r="B222" s="11" t="str">
        <f>CONCATENATE("          ", "9150", " - ", "MISC. INCOME")</f>
        <v xml:space="preserve">          9150 - MISC. INCOME</v>
      </c>
      <c r="C222" s="11"/>
      <c r="D222" s="2">
        <f>--15917.25</f>
        <v>15917.25</v>
      </c>
      <c r="E222" s="2"/>
      <c r="F222" s="19">
        <f t="shared" si="153"/>
        <v>8.6556342280067144E-2</v>
      </c>
      <c r="G222" s="2"/>
      <c r="H222" s="2">
        <v>18750</v>
      </c>
      <c r="I222" s="2"/>
      <c r="J222" s="19">
        <f t="shared" si="154"/>
        <v>4.549104857473512E-2</v>
      </c>
      <c r="K222" s="2"/>
      <c r="L222" s="2">
        <f t="shared" si="155"/>
        <v>-2832.75</v>
      </c>
      <c r="M222" s="2"/>
      <c r="N222" s="19">
        <f t="shared" si="156"/>
        <v>-0.15107999999999999</v>
      </c>
      <c r="O222" s="11"/>
      <c r="P222" s="2">
        <f>--316528.75</f>
        <v>316528.75</v>
      </c>
      <c r="Q222" s="2"/>
      <c r="R222" s="19">
        <f t="shared" si="157"/>
        <v>7.4229805969818888E-2</v>
      </c>
      <c r="S222" s="2"/>
      <c r="T222" s="2">
        <v>181250</v>
      </c>
      <c r="U222" s="2"/>
      <c r="V222" s="19">
        <f t="shared" si="158"/>
        <v>2.3481185125533977E-2</v>
      </c>
      <c r="W222" s="2"/>
      <c r="X222" s="2">
        <f t="shared" si="159"/>
        <v>135278.75</v>
      </c>
      <c r="Y222" s="2"/>
      <c r="Z222" s="19">
        <f t="shared" si="160"/>
        <v>0.74636551724137934</v>
      </c>
    </row>
    <row r="223" spans="1:26" s="24" customFormat="1" hidden="1" outlineLevel="1" x14ac:dyDescent="0.25">
      <c r="A223" s="44"/>
      <c r="B223" s="11" t="str">
        <f>CONCATENATE("          ", "9151", " - ", "MISC. INCOME")</f>
        <v xml:space="preserve">          9151 - MISC. INCOME</v>
      </c>
      <c r="C223" s="11"/>
      <c r="D223" s="2">
        <f>-2282.24</f>
        <v>-2282.2399999999998</v>
      </c>
      <c r="E223" s="2"/>
      <c r="F223" s="19">
        <f t="shared" si="153"/>
        <v>-1.2410582644945604E-2</v>
      </c>
      <c r="G223" s="2"/>
      <c r="H223" s="2">
        <v>189095</v>
      </c>
      <c r="I223" s="2"/>
      <c r="J223" s="19">
        <f t="shared" si="154"/>
        <v>0.45878025761277536</v>
      </c>
      <c r="K223" s="2"/>
      <c r="L223" s="2">
        <f t="shared" si="155"/>
        <v>-191377.24</v>
      </c>
      <c r="M223" s="2"/>
      <c r="N223" s="19">
        <f t="shared" si="156"/>
        <v>-1.012069277347365</v>
      </c>
      <c r="O223" s="11"/>
      <c r="P223" s="2">
        <f>--295628.46</f>
        <v>295628.46000000002</v>
      </c>
      <c r="Q223" s="2"/>
      <c r="R223" s="19">
        <f t="shared" si="157"/>
        <v>6.9328436121383494E-2</v>
      </c>
      <c r="S223" s="2"/>
      <c r="T223" s="2">
        <v>655495</v>
      </c>
      <c r="U223" s="2"/>
      <c r="V223" s="19">
        <f t="shared" si="158"/>
        <v>8.4920272793720802E-2</v>
      </c>
      <c r="W223" s="2"/>
      <c r="X223" s="2">
        <f t="shared" si="159"/>
        <v>-359866.54</v>
      </c>
      <c r="Y223" s="2"/>
      <c r="Z223" s="19">
        <f t="shared" si="160"/>
        <v>-0.54899967200360034</v>
      </c>
    </row>
    <row r="224" spans="1:26" s="24" customFormat="1" hidden="1" outlineLevel="1" x14ac:dyDescent="0.25">
      <c r="A224" s="44"/>
      <c r="B224" s="11" t="str">
        <f>CONCATENATE("          ", "9152", " - ", "MISC. INCOME")</f>
        <v xml:space="preserve">          9152 - MISC. INCOME</v>
      </c>
      <c r="C224" s="11"/>
      <c r="D224" s="2">
        <f>--397.11</f>
        <v>397.11</v>
      </c>
      <c r="E224" s="2"/>
      <c r="F224" s="19">
        <f t="shared" si="153"/>
        <v>2.1594426853154573E-3</v>
      </c>
      <c r="G224" s="2"/>
      <c r="H224" s="2"/>
      <c r="I224" s="2"/>
      <c r="J224" s="19">
        <f t="shared" si="154"/>
        <v>0</v>
      </c>
      <c r="K224" s="2"/>
      <c r="L224" s="2">
        <f t="shared" si="155"/>
        <v>397.11</v>
      </c>
      <c r="M224" s="2"/>
      <c r="N224" s="19">
        <f t="shared" si="156"/>
        <v>0</v>
      </c>
      <c r="O224" s="11"/>
      <c r="P224" s="2">
        <f>--3710.56</f>
        <v>3710.56</v>
      </c>
      <c r="Q224" s="2"/>
      <c r="R224" s="19">
        <f t="shared" si="157"/>
        <v>8.7017103134982583E-4</v>
      </c>
      <c r="S224" s="2"/>
      <c r="T224" s="2"/>
      <c r="U224" s="2"/>
      <c r="V224" s="19">
        <f t="shared" si="158"/>
        <v>0</v>
      </c>
      <c r="W224" s="2"/>
      <c r="X224" s="2">
        <f t="shared" si="159"/>
        <v>3710.56</v>
      </c>
      <c r="Y224" s="2"/>
      <c r="Z224" s="19">
        <f t="shared" si="160"/>
        <v>0</v>
      </c>
    </row>
    <row r="225" spans="1:26" s="24" customFormat="1" hidden="1" outlineLevel="1" x14ac:dyDescent="0.25">
      <c r="A225" s="44"/>
      <c r="B225" s="11" t="str">
        <f>CONCATENATE("          ", "9163", " - ", "MISC. INCOME")</f>
        <v xml:space="preserve">          9163 - MISC. INCOME</v>
      </c>
      <c r="C225" s="11"/>
      <c r="D225" s="2">
        <f>--175014.7</f>
        <v>175014.7</v>
      </c>
      <c r="E225" s="2"/>
      <c r="F225" s="19">
        <f t="shared" si="153"/>
        <v>0.95171165102283795</v>
      </c>
      <c r="G225" s="2"/>
      <c r="H225" s="2"/>
      <c r="I225" s="2"/>
      <c r="J225" s="19">
        <f t="shared" si="154"/>
        <v>0</v>
      </c>
      <c r="K225" s="2"/>
      <c r="L225" s="2">
        <f t="shared" si="155"/>
        <v>175014.7</v>
      </c>
      <c r="M225" s="2"/>
      <c r="N225" s="19">
        <f t="shared" si="156"/>
        <v>0</v>
      </c>
      <c r="O225" s="11"/>
      <c r="P225" s="2">
        <f>--346434.46</f>
        <v>346434.46</v>
      </c>
      <c r="Q225" s="2"/>
      <c r="R225" s="19">
        <f t="shared" si="157"/>
        <v>8.1243055321385454E-2</v>
      </c>
      <c r="S225" s="2"/>
      <c r="T225" s="2"/>
      <c r="U225" s="2"/>
      <c r="V225" s="19">
        <f t="shared" si="158"/>
        <v>0</v>
      </c>
      <c r="W225" s="2"/>
      <c r="X225" s="2">
        <f t="shared" si="159"/>
        <v>346434.46</v>
      </c>
      <c r="Y225" s="2"/>
      <c r="Z225" s="19">
        <f t="shared" si="160"/>
        <v>0</v>
      </c>
    </row>
    <row r="226" spans="1:26" x14ac:dyDescent="0.25">
      <c r="A226" s="9"/>
      <c r="B226" s="10"/>
      <c r="C226" s="10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O226" s="10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25">
      <c r="A227" s="10"/>
      <c r="B227" s="29" t="s">
        <v>277</v>
      </c>
      <c r="C227" s="29"/>
      <c r="D227" s="20">
        <f>+D120-D122+D221</f>
        <v>47812.380000000121</v>
      </c>
      <c r="E227" s="14"/>
      <c r="F227" s="21">
        <f>IF(D$12=0,0,D227/D$12)</f>
        <v>0.25999872644487249</v>
      </c>
      <c r="G227" s="14"/>
      <c r="H227" s="20">
        <f>+H120-H122+H221</f>
        <v>114118.09808077151</v>
      </c>
      <c r="I227" s="14"/>
      <c r="J227" s="21">
        <f>IF(H$12=0,0,H227/H$12)</f>
        <v>0.2768721036292674</v>
      </c>
      <c r="K227" s="16"/>
      <c r="L227" s="20">
        <f>+D227-H227</f>
        <v>-66305.718080771388</v>
      </c>
      <c r="M227" s="16"/>
      <c r="N227" s="21">
        <f>IF(H227=0,0,L227/H227)</f>
        <v>-0.58102719196950636</v>
      </c>
      <c r="O227" s="28"/>
      <c r="P227" s="20">
        <f>+P120-P122+P221</f>
        <v>122744.64000000153</v>
      </c>
      <c r="Q227" s="14"/>
      <c r="R227" s="21">
        <f>IF(P$12=0,0,P227/P$12)</f>
        <v>2.8785097123200924E-2</v>
      </c>
      <c r="S227" s="14"/>
      <c r="T227" s="20">
        <f>+T120-T122+T221</f>
        <v>617574.0173168201</v>
      </c>
      <c r="U227" s="14"/>
      <c r="V227" s="21">
        <f>IF(T$12=0,0,T227/T$12)</f>
        <v>8.0007557679095065E-2</v>
      </c>
      <c r="W227" s="16"/>
      <c r="X227" s="20">
        <f>+P227-T227</f>
        <v>-494829.37731681857</v>
      </c>
      <c r="Y227" s="16"/>
      <c r="Z227" s="21">
        <f>IF(T227=0,0,X227/T227)</f>
        <v>-0.80124707879827695</v>
      </c>
    </row>
    <row r="228" spans="1:26" x14ac:dyDescent="0.25">
      <c r="A228" s="9"/>
      <c r="B228" s="10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x14ac:dyDescent="0.25">
      <c r="A229" s="52"/>
      <c r="B229" s="10" t="s">
        <v>128</v>
      </c>
      <c r="C229" s="10"/>
      <c r="D229" s="4">
        <v>70768.800000000003</v>
      </c>
      <c r="E229" s="4"/>
      <c r="F229" s="12">
        <f>IF(D$12=0,0,D229/D$12)</f>
        <v>0.38483333965035516</v>
      </c>
      <c r="G229" s="4"/>
      <c r="H229" s="4">
        <v>108213</v>
      </c>
      <c r="I229" s="4"/>
      <c r="J229" s="12">
        <f>IF(H$12=0,0,H229/H$12)</f>
        <v>0.26254521810228326</v>
      </c>
      <c r="K229" s="4"/>
      <c r="L229" s="4">
        <f>+D229-H229</f>
        <v>-37444.199999999997</v>
      </c>
      <c r="M229" s="4"/>
      <c r="N229" s="12">
        <f>IF(H229=0,0,L229/H229)</f>
        <v>-0.3460231210667849</v>
      </c>
      <c r="O229" s="10"/>
      <c r="P229" s="4">
        <v>878809.89</v>
      </c>
      <c r="Q229" s="4"/>
      <c r="R229" s="12">
        <f>IF(P$12=0,0,P229/P$12)</f>
        <v>0.20609150865145073</v>
      </c>
      <c r="S229" s="4"/>
      <c r="T229" s="4">
        <v>1369004</v>
      </c>
      <c r="U229" s="4"/>
      <c r="V229" s="12">
        <f>IF(T$12=0,0,T229/T$12)</f>
        <v>0.17735633854673941</v>
      </c>
      <c r="W229" s="4"/>
      <c r="X229" s="4">
        <f>+P229-T229</f>
        <v>-490194.11</v>
      </c>
      <c r="Y229" s="4"/>
      <c r="Z229" s="12">
        <f>IF(T229=0,0,X229/T229)</f>
        <v>-0.35806623647556907</v>
      </c>
    </row>
    <row r="230" spans="1:26" x14ac:dyDescent="0.25">
      <c r="A230" s="9"/>
      <c r="B230" s="10"/>
      <c r="C230" s="10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O230" s="10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s="23" customFormat="1" ht="15.75" thickBot="1" x14ac:dyDescent="0.3">
      <c r="A231" s="10"/>
      <c r="B231" s="29" t="s">
        <v>126</v>
      </c>
      <c r="C231" s="29"/>
      <c r="D231" s="34">
        <f>+D227-D229</f>
        <v>-22956.419999999882</v>
      </c>
      <c r="E231" s="14"/>
      <c r="F231" s="30">
        <f>IF(D$12=0,0,D231/D$12)</f>
        <v>-0.12483461320548264</v>
      </c>
      <c r="G231" s="14"/>
      <c r="H231" s="34">
        <f>+H227-H229</f>
        <v>5905.0980807715096</v>
      </c>
      <c r="I231" s="14"/>
      <c r="J231" s="30">
        <f>IF(H$12=0,0,H231/H$12)</f>
        <v>1.43268855269841E-2</v>
      </c>
      <c r="K231" s="16"/>
      <c r="L231" s="34">
        <f>D231-H231</f>
        <v>-28861.518080771391</v>
      </c>
      <c r="M231" s="16"/>
      <c r="N231" s="30">
        <f>IF(H231=0,0,L231/H231)</f>
        <v>-4.8875594758962233</v>
      </c>
      <c r="O231" s="28"/>
      <c r="P231" s="34">
        <f>+P227-P229</f>
        <v>-756065.24999999849</v>
      </c>
      <c r="Q231" s="14"/>
      <c r="R231" s="30">
        <f>IF(P$12=0,0,P231/P$12)</f>
        <v>-0.1773064115282498</v>
      </c>
      <c r="S231" s="14"/>
      <c r="T231" s="34">
        <f>+T227-T229</f>
        <v>-751429.9826831799</v>
      </c>
      <c r="U231" s="14"/>
      <c r="V231" s="30">
        <f>IF(T$12=0,0,T231/T$12)</f>
        <v>-9.7348780867644355E-2</v>
      </c>
      <c r="W231" s="16"/>
      <c r="X231" s="34">
        <f>P231-T231</f>
        <v>-4635.2673168185866</v>
      </c>
      <c r="Y231" s="16"/>
      <c r="Z231" s="30">
        <f>IF(T231=0,0,X231/T231)</f>
        <v>6.1685951101753166E-3</v>
      </c>
    </row>
    <row r="232" spans="1:26" ht="15.75" thickTop="1" x14ac:dyDescent="0.25">
      <c r="A232" s="9"/>
      <c r="B232" s="9"/>
      <c r="C232" s="9"/>
      <c r="D232" s="3"/>
      <c r="E232" s="3"/>
      <c r="F232" s="8"/>
      <c r="G232" s="3"/>
      <c r="H232" s="3"/>
      <c r="I232" s="3"/>
      <c r="J232" s="8"/>
      <c r="K232" s="3"/>
      <c r="L232" s="3"/>
      <c r="M232" s="3"/>
      <c r="N232" s="8"/>
      <c r="P232" s="3"/>
      <c r="Q232" s="3"/>
      <c r="R232" s="8"/>
      <c r="S232" s="3"/>
      <c r="T232" s="3"/>
      <c r="U232" s="3"/>
      <c r="V232" s="8"/>
      <c r="W232" s="3"/>
      <c r="X232" s="3"/>
      <c r="Y232" s="3"/>
      <c r="Z232" s="8"/>
    </row>
    <row r="233" spans="1:26" x14ac:dyDescent="0.25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s="23" customFormat="1" ht="15.75" thickBot="1" x14ac:dyDescent="0.3">
      <c r="A234" s="10"/>
      <c r="B234" s="29" t="s">
        <v>294</v>
      </c>
      <c r="C234" s="29"/>
      <c r="D234" s="31">
        <f>SUM(D231:D233)</f>
        <v>-22956.419999999882</v>
      </c>
      <c r="E234" s="14"/>
      <c r="F234" s="35">
        <f>IF(D$12=0,0,D234/D$12)</f>
        <v>-0.12483461320548264</v>
      </c>
      <c r="G234" s="14"/>
      <c r="H234" s="31">
        <f>SUM(H231:H233)</f>
        <v>5905.0980807715096</v>
      </c>
      <c r="I234" s="14"/>
      <c r="J234" s="35">
        <f>IF(H$12=0,0,H234/H$12)</f>
        <v>1.43268855269841E-2</v>
      </c>
      <c r="K234" s="16"/>
      <c r="L234" s="31">
        <f>+D234-H234</f>
        <v>-28861.518080771391</v>
      </c>
      <c r="M234" s="16"/>
      <c r="N234" s="35">
        <f>IF(H234=0,0,L234/H234)</f>
        <v>-4.8875594758962233</v>
      </c>
      <c r="O234" s="28"/>
      <c r="P234" s="31">
        <f>SUM(P231:P233)</f>
        <v>-756065.24999999849</v>
      </c>
      <c r="Q234" s="14"/>
      <c r="R234" s="35">
        <f>IF(P$12=0,0,P234/P$12)</f>
        <v>-0.1773064115282498</v>
      </c>
      <c r="S234" s="14"/>
      <c r="T234" s="31">
        <f>SUM(T231:T233)</f>
        <v>-751429.9826831799</v>
      </c>
      <c r="U234" s="14"/>
      <c r="V234" s="35">
        <f>IF(T$12=0,0,T234/T$12)</f>
        <v>-9.7348780867644355E-2</v>
      </c>
      <c r="W234" s="16"/>
      <c r="X234" s="31">
        <f>+P234-T234</f>
        <v>-4635.2673168185866</v>
      </c>
      <c r="Y234" s="16"/>
      <c r="Z234" s="35">
        <f>IF(T234=0,0,X234/T234)</f>
        <v>6.1685951101753166E-3</v>
      </c>
    </row>
    <row r="235" spans="1:26" ht="15.75" thickTop="1" x14ac:dyDescent="0.25">
      <c r="A235" s="9"/>
      <c r="C235" s="9"/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  <row r="236" spans="1:26" x14ac:dyDescent="0.25">
      <c r="A236" s="9"/>
      <c r="B236" s="56">
        <v>44295.961767245368</v>
      </c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25">
      <c r="A237" s="9"/>
      <c r="B237" s="53" t="s">
        <v>56</v>
      </c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  <row r="238" spans="1:26" x14ac:dyDescent="0.25">
      <c r="A238" s="9"/>
      <c r="B238" s="54"/>
      <c r="D238" s="18"/>
      <c r="E238" s="18"/>
      <c r="G238" s="18"/>
      <c r="H238" s="18"/>
      <c r="I238" s="18"/>
      <c r="J238" s="43"/>
      <c r="K238" s="18"/>
      <c r="L238" s="18"/>
      <c r="M238" s="18"/>
      <c r="P238" s="18"/>
      <c r="Q238" s="18"/>
      <c r="R238" s="43"/>
      <c r="S238" s="18"/>
      <c r="T238" s="18"/>
      <c r="U238" s="18"/>
      <c r="V238" s="43"/>
      <c r="W238" s="18"/>
      <c r="X238" s="18"/>
    </row>
    <row r="239" spans="1:26" x14ac:dyDescent="0.25">
      <c r="D239" s="18"/>
      <c r="E239" s="18"/>
      <c r="G239" s="18"/>
      <c r="H239" s="18"/>
      <c r="I239" s="18"/>
      <c r="J239" s="43"/>
      <c r="K239" s="18"/>
      <c r="L239" s="18"/>
      <c r="M239" s="18"/>
      <c r="P239" s="18"/>
      <c r="Q239" s="18"/>
      <c r="R239" s="43"/>
      <c r="S239" s="18"/>
      <c r="T239" s="18"/>
      <c r="U239" s="18"/>
      <c r="V239" s="43"/>
      <c r="W239" s="18"/>
      <c r="X239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612979.92999999993</v>
      </c>
      <c r="E12" s="4"/>
      <c r="F12" s="12"/>
      <c r="G12" s="4"/>
      <c r="H12" s="4">
        <f>SUM(OSRRefH13x_0)</f>
        <v>515041</v>
      </c>
      <c r="I12" s="4"/>
      <c r="J12" s="12"/>
      <c r="K12" s="4"/>
      <c r="L12" s="4">
        <f t="shared" ref="L12:L91" si="0">+D12-H12</f>
        <v>97938.929999999935</v>
      </c>
      <c r="M12" s="4"/>
      <c r="N12" s="12">
        <f t="shared" ref="N12:N91" si="1">IF(H12=0,0,L12/H12)</f>
        <v>0.19015754085597056</v>
      </c>
      <c r="O12" s="10"/>
      <c r="P12" s="4">
        <f>SUM(OSRRefP13x_0)</f>
        <v>6283729.6700000018</v>
      </c>
      <c r="Q12" s="4"/>
      <c r="R12" s="12"/>
      <c r="S12" s="4"/>
      <c r="T12" s="4">
        <f>SUM(OSRRefT13x_0)</f>
        <v>9553449</v>
      </c>
      <c r="U12" s="4"/>
      <c r="V12" s="12"/>
      <c r="W12" s="4"/>
      <c r="X12" s="4">
        <f t="shared" ref="X12:X91" si="2">+P12-T12</f>
        <v>-3269719.3299999982</v>
      </c>
      <c r="Y12" s="4"/>
      <c r="Z12" s="12">
        <f t="shared" ref="Z12:Z91" si="3">IF(T12=0,0,X12/T12)</f>
        <v>-0.34225538127643723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-11598.32</f>
        <v>-11598.32</v>
      </c>
      <c r="E13" s="2"/>
      <c r="F13" s="19"/>
      <c r="G13" s="2"/>
      <c r="H13" s="2">
        <v>456963</v>
      </c>
      <c r="I13" s="2"/>
      <c r="J13" s="19"/>
      <c r="K13" s="2"/>
      <c r="L13" s="2">
        <f t="shared" si="0"/>
        <v>-468561.32</v>
      </c>
      <c r="M13" s="2"/>
      <c r="N13" s="19">
        <f t="shared" si="1"/>
        <v>-1.0253813109595307</v>
      </c>
      <c r="O13" s="11"/>
      <c r="P13" s="2">
        <f>-122656.41</f>
        <v>-122656.41</v>
      </c>
      <c r="Q13" s="2"/>
      <c r="R13" s="19"/>
      <c r="S13" s="2"/>
      <c r="T13" s="2">
        <v>9215237</v>
      </c>
      <c r="U13" s="2"/>
      <c r="V13" s="19"/>
      <c r="W13" s="2"/>
      <c r="X13" s="2">
        <f t="shared" si="2"/>
        <v>-9337893.4100000001</v>
      </c>
      <c r="Y13" s="2"/>
      <c r="Z13" s="19">
        <f t="shared" si="3"/>
        <v>-1.0133101742255788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--7739.23</f>
        <v>7739.23</v>
      </c>
      <c r="E14" s="2"/>
      <c r="F14" s="19"/>
      <c r="G14" s="2"/>
      <c r="H14" s="2"/>
      <c r="I14" s="2"/>
      <c r="J14" s="19"/>
      <c r="K14" s="2"/>
      <c r="L14" s="2">
        <f t="shared" si="0"/>
        <v>7739.23</v>
      </c>
      <c r="M14" s="2"/>
      <c r="N14" s="19">
        <f t="shared" si="1"/>
        <v>0</v>
      </c>
      <c r="O14" s="11"/>
      <c r="P14" s="2">
        <f>--1232463.24</f>
        <v>1232463.24</v>
      </c>
      <c r="Q14" s="2"/>
      <c r="R14" s="19"/>
      <c r="S14" s="2"/>
      <c r="T14" s="2"/>
      <c r="U14" s="2"/>
      <c r="V14" s="19"/>
      <c r="W14" s="2"/>
      <c r="X14" s="2">
        <f t="shared" si="2"/>
        <v>1232463.24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--1662.85</f>
        <v>1662.85</v>
      </c>
      <c r="E15" s="2"/>
      <c r="F15" s="19"/>
      <c r="G15" s="2"/>
      <c r="H15" s="2"/>
      <c r="I15" s="2"/>
      <c r="J15" s="19"/>
      <c r="K15" s="2"/>
      <c r="L15" s="2">
        <f t="shared" si="0"/>
        <v>1662.85</v>
      </c>
      <c r="M15" s="2"/>
      <c r="N15" s="19">
        <f t="shared" si="1"/>
        <v>0</v>
      </c>
      <c r="O15" s="11"/>
      <c r="P15" s="2">
        <f>--576797.33</f>
        <v>576797.32999999996</v>
      </c>
      <c r="Q15" s="2"/>
      <c r="R15" s="19"/>
      <c r="S15" s="2"/>
      <c r="T15" s="2"/>
      <c r="U15" s="2"/>
      <c r="V15" s="19"/>
      <c r="W15" s="2"/>
      <c r="X15" s="2">
        <f t="shared" si="2"/>
        <v>576797.32999999996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--16.37</f>
        <v>16.37</v>
      </c>
      <c r="E21" s="2"/>
      <c r="F21" s="19"/>
      <c r="G21" s="2"/>
      <c r="H21" s="2"/>
      <c r="I21" s="2"/>
      <c r="J21" s="19"/>
      <c r="K21" s="2"/>
      <c r="L21" s="2">
        <f t="shared" si="0"/>
        <v>16.37</v>
      </c>
      <c r="M21" s="2"/>
      <c r="N21" s="19">
        <f t="shared" si="1"/>
        <v>0</v>
      </c>
      <c r="O21" s="11"/>
      <c r="P21" s="2">
        <f>--464.75</f>
        <v>464.75</v>
      </c>
      <c r="Q21" s="2"/>
      <c r="R21" s="19"/>
      <c r="S21" s="2"/>
      <c r="T21" s="2"/>
      <c r="U21" s="2"/>
      <c r="V21" s="19"/>
      <c r="W21" s="2"/>
      <c r="X21" s="2">
        <f t="shared" si="2"/>
        <v>464.75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--3028</f>
        <v>3028</v>
      </c>
      <c r="E22" s="2"/>
      <c r="F22" s="19"/>
      <c r="G22" s="2"/>
      <c r="H22" s="2"/>
      <c r="I22" s="2"/>
      <c r="J22" s="19"/>
      <c r="K22" s="2"/>
      <c r="L22" s="2">
        <f t="shared" si="0"/>
        <v>3028</v>
      </c>
      <c r="M22" s="2"/>
      <c r="N22" s="19">
        <f t="shared" si="1"/>
        <v>0</v>
      </c>
      <c r="O22" s="11"/>
      <c r="P22" s="2">
        <f>--57512.32</f>
        <v>57512.32</v>
      </c>
      <c r="Q22" s="2"/>
      <c r="R22" s="19"/>
      <c r="S22" s="2"/>
      <c r="T22" s="2"/>
      <c r="U22" s="2"/>
      <c r="V22" s="19"/>
      <c r="W22" s="2"/>
      <c r="X22" s="2">
        <f t="shared" si="2"/>
        <v>57512.32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--3372.76</f>
        <v>3372.76</v>
      </c>
      <c r="E23" s="2"/>
      <c r="F23" s="19"/>
      <c r="G23" s="2"/>
      <c r="H23" s="2"/>
      <c r="I23" s="2"/>
      <c r="J23" s="19"/>
      <c r="K23" s="2"/>
      <c r="L23" s="2">
        <f t="shared" si="0"/>
        <v>3372.76</v>
      </c>
      <c r="M23" s="2"/>
      <c r="N23" s="19">
        <f t="shared" si="1"/>
        <v>0</v>
      </c>
      <c r="O23" s="11"/>
      <c r="P23" s="2">
        <f>--44249.38</f>
        <v>44249.38</v>
      </c>
      <c r="Q23" s="2"/>
      <c r="R23" s="19"/>
      <c r="S23" s="2"/>
      <c r="T23" s="2"/>
      <c r="U23" s="2"/>
      <c r="V23" s="19"/>
      <c r="W23" s="2"/>
      <c r="X23" s="2">
        <f t="shared" si="2"/>
        <v>44249.38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--434.03</f>
        <v>434.03</v>
      </c>
      <c r="E24" s="2"/>
      <c r="F24" s="19"/>
      <c r="G24" s="2"/>
      <c r="H24" s="2"/>
      <c r="I24" s="2"/>
      <c r="J24" s="19"/>
      <c r="K24" s="2"/>
      <c r="L24" s="2">
        <f t="shared" si="0"/>
        <v>434.03</v>
      </c>
      <c r="M24" s="2"/>
      <c r="N24" s="19">
        <f t="shared" si="1"/>
        <v>0</v>
      </c>
      <c r="O24" s="11"/>
      <c r="P24" s="2">
        <f>--3614.87</f>
        <v>3614.87</v>
      </c>
      <c r="Q24" s="2"/>
      <c r="R24" s="19"/>
      <c r="S24" s="2"/>
      <c r="T24" s="2"/>
      <c r="U24" s="2"/>
      <c r="V24" s="19"/>
      <c r="W24" s="2"/>
      <c r="X24" s="2">
        <f t="shared" si="2"/>
        <v>3614.87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--82653.17</f>
        <v>82653.17</v>
      </c>
      <c r="E26" s="2"/>
      <c r="F26" s="19"/>
      <c r="G26" s="2"/>
      <c r="H26" s="2"/>
      <c r="I26" s="2"/>
      <c r="J26" s="19"/>
      <c r="K26" s="2"/>
      <c r="L26" s="2">
        <f t="shared" si="0"/>
        <v>82653.17</v>
      </c>
      <c r="M26" s="2"/>
      <c r="N26" s="19">
        <f t="shared" si="1"/>
        <v>0</v>
      </c>
      <c r="O26" s="11"/>
      <c r="P26" s="2">
        <f>--754001.15</f>
        <v>754001.15</v>
      </c>
      <c r="Q26" s="2"/>
      <c r="R26" s="19"/>
      <c r="S26" s="2"/>
      <c r="T26" s="2"/>
      <c r="U26" s="2"/>
      <c r="V26" s="19"/>
      <c r="W26" s="2"/>
      <c r="X26" s="2">
        <f t="shared" si="2"/>
        <v>754001.15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--47817.47</f>
        <v>47817.47</v>
      </c>
      <c r="E27" s="2"/>
      <c r="F27" s="19"/>
      <c r="G27" s="2"/>
      <c r="H27" s="2"/>
      <c r="I27" s="2"/>
      <c r="J27" s="19"/>
      <c r="K27" s="2"/>
      <c r="L27" s="2">
        <f t="shared" si="0"/>
        <v>47817.47</v>
      </c>
      <c r="M27" s="2"/>
      <c r="N27" s="19">
        <f t="shared" si="1"/>
        <v>0</v>
      </c>
      <c r="O27" s="11"/>
      <c r="P27" s="2">
        <f>--324016.78</f>
        <v>324016.78000000003</v>
      </c>
      <c r="Q27" s="2"/>
      <c r="R27" s="19"/>
      <c r="S27" s="2"/>
      <c r="T27" s="2"/>
      <c r="U27" s="2"/>
      <c r="V27" s="19"/>
      <c r="W27" s="2"/>
      <c r="X27" s="2">
        <f t="shared" si="2"/>
        <v>324016.78000000003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--11053.28</f>
        <v>11053.28</v>
      </c>
      <c r="E28" s="2"/>
      <c r="F28" s="19"/>
      <c r="G28" s="2"/>
      <c r="H28" s="2"/>
      <c r="I28" s="2"/>
      <c r="J28" s="19"/>
      <c r="K28" s="2"/>
      <c r="L28" s="2">
        <f t="shared" si="0"/>
        <v>11053.28</v>
      </c>
      <c r="M28" s="2"/>
      <c r="N28" s="19">
        <f t="shared" si="1"/>
        <v>0</v>
      </c>
      <c r="O28" s="11"/>
      <c r="P28" s="2">
        <f>--90048.2</f>
        <v>90048.2</v>
      </c>
      <c r="Q28" s="2"/>
      <c r="R28" s="19"/>
      <c r="S28" s="2"/>
      <c r="T28" s="2"/>
      <c r="U28" s="2"/>
      <c r="V28" s="19"/>
      <c r="W28" s="2"/>
      <c r="X28" s="2">
        <f t="shared" si="2"/>
        <v>90048.2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--8285.51</f>
        <v>8285.51</v>
      </c>
      <c r="E29" s="2"/>
      <c r="F29" s="19"/>
      <c r="G29" s="2"/>
      <c r="H29" s="2"/>
      <c r="I29" s="2"/>
      <c r="J29" s="19"/>
      <c r="K29" s="2"/>
      <c r="L29" s="2">
        <f t="shared" si="0"/>
        <v>8285.51</v>
      </c>
      <c r="M29" s="2"/>
      <c r="N29" s="19">
        <f t="shared" si="1"/>
        <v>0</v>
      </c>
      <c r="O29" s="11"/>
      <c r="P29" s="2">
        <f>--132436.17</f>
        <v>132436.17000000001</v>
      </c>
      <c r="Q29" s="2"/>
      <c r="R29" s="19"/>
      <c r="S29" s="2"/>
      <c r="T29" s="2"/>
      <c r="U29" s="2"/>
      <c r="V29" s="19"/>
      <c r="W29" s="2"/>
      <c r="X29" s="2">
        <f t="shared" si="2"/>
        <v>132436.17000000001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--1774.45</f>
        <v>1774.45</v>
      </c>
      <c r="E30" s="2"/>
      <c r="F30" s="19"/>
      <c r="G30" s="2"/>
      <c r="H30" s="2"/>
      <c r="I30" s="2"/>
      <c r="J30" s="19"/>
      <c r="K30" s="2"/>
      <c r="L30" s="2">
        <f t="shared" si="0"/>
        <v>1774.45</v>
      </c>
      <c r="M30" s="2"/>
      <c r="N30" s="19">
        <f t="shared" si="1"/>
        <v>0</v>
      </c>
      <c r="O30" s="11"/>
      <c r="P30" s="2">
        <f>--31346.85</f>
        <v>31346.85</v>
      </c>
      <c r="Q30" s="2"/>
      <c r="R30" s="19"/>
      <c r="S30" s="2"/>
      <c r="T30" s="2"/>
      <c r="U30" s="2"/>
      <c r="V30" s="19"/>
      <c r="W30" s="2"/>
      <c r="X30" s="2">
        <f t="shared" si="2"/>
        <v>31346.85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--8707.87</f>
        <v>8707.8700000000008</v>
      </c>
      <c r="E31" s="2"/>
      <c r="F31" s="19"/>
      <c r="G31" s="2"/>
      <c r="H31" s="2"/>
      <c r="I31" s="2"/>
      <c r="J31" s="19"/>
      <c r="K31" s="2"/>
      <c r="L31" s="2">
        <f t="shared" si="0"/>
        <v>8707.8700000000008</v>
      </c>
      <c r="M31" s="2"/>
      <c r="N31" s="19">
        <f t="shared" si="1"/>
        <v>0</v>
      </c>
      <c r="O31" s="11"/>
      <c r="P31" s="2">
        <f>--144197.44</f>
        <v>144197.44</v>
      </c>
      <c r="Q31" s="2"/>
      <c r="R31" s="19"/>
      <c r="S31" s="2"/>
      <c r="T31" s="2"/>
      <c r="U31" s="2"/>
      <c r="V31" s="19"/>
      <c r="W31" s="2"/>
      <c r="X31" s="2">
        <f t="shared" si="2"/>
        <v>144197.44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>--1204.4</f>
        <v>1204.4000000000001</v>
      </c>
      <c r="E32" s="2"/>
      <c r="F32" s="19"/>
      <c r="G32" s="2"/>
      <c r="H32" s="2"/>
      <c r="I32" s="2"/>
      <c r="J32" s="19"/>
      <c r="K32" s="2"/>
      <c r="L32" s="2">
        <f t="shared" si="0"/>
        <v>1204.4000000000001</v>
      </c>
      <c r="M32" s="2"/>
      <c r="N32" s="19">
        <f t="shared" si="1"/>
        <v>0</v>
      </c>
      <c r="O32" s="11"/>
      <c r="P32" s="2">
        <f>--60539.2</f>
        <v>60539.199999999997</v>
      </c>
      <c r="Q32" s="2"/>
      <c r="R32" s="19"/>
      <c r="S32" s="2"/>
      <c r="T32" s="2"/>
      <c r="U32" s="2"/>
      <c r="V32" s="19"/>
      <c r="W32" s="2"/>
      <c r="X32" s="2">
        <f t="shared" si="2"/>
        <v>60539.199999999997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--407027.89</f>
        <v>407027.89</v>
      </c>
      <c r="E33" s="2"/>
      <c r="F33" s="19"/>
      <c r="G33" s="2"/>
      <c r="H33" s="2"/>
      <c r="I33" s="2"/>
      <c r="J33" s="19"/>
      <c r="K33" s="2"/>
      <c r="L33" s="2">
        <f t="shared" si="0"/>
        <v>407027.89</v>
      </c>
      <c r="M33" s="2"/>
      <c r="N33" s="19">
        <f t="shared" si="1"/>
        <v>0</v>
      </c>
      <c r="O33" s="11"/>
      <c r="P33" s="2">
        <f>--1657866.36</f>
        <v>1657866.36</v>
      </c>
      <c r="Q33" s="2"/>
      <c r="R33" s="19"/>
      <c r="S33" s="2"/>
      <c r="T33" s="2"/>
      <c r="U33" s="2"/>
      <c r="V33" s="19"/>
      <c r="W33" s="2"/>
      <c r="X33" s="2">
        <f t="shared" si="2"/>
        <v>1657866.36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--22860.44</f>
        <v>22860.44</v>
      </c>
      <c r="E34" s="2"/>
      <c r="F34" s="19"/>
      <c r="G34" s="2"/>
      <c r="H34" s="2"/>
      <c r="I34" s="2"/>
      <c r="J34" s="19"/>
      <c r="K34" s="2"/>
      <c r="L34" s="2">
        <f t="shared" si="0"/>
        <v>22860.44</v>
      </c>
      <c r="M34" s="2"/>
      <c r="N34" s="19">
        <f t="shared" si="1"/>
        <v>0</v>
      </c>
      <c r="O34" s="11"/>
      <c r="P34" s="2">
        <f>--119669.26</f>
        <v>119669.26</v>
      </c>
      <c r="Q34" s="2"/>
      <c r="R34" s="19"/>
      <c r="S34" s="2"/>
      <c r="T34" s="2"/>
      <c r="U34" s="2"/>
      <c r="V34" s="19"/>
      <c r="W34" s="2"/>
      <c r="X34" s="2">
        <f t="shared" si="2"/>
        <v>119669.26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>--219.98</f>
        <v>219.98</v>
      </c>
      <c r="E35" s="2"/>
      <c r="F35" s="19"/>
      <c r="G35" s="2"/>
      <c r="H35" s="2"/>
      <c r="I35" s="2"/>
      <c r="J35" s="19"/>
      <c r="K35" s="2"/>
      <c r="L35" s="2">
        <f t="shared" si="0"/>
        <v>219.98</v>
      </c>
      <c r="M35" s="2"/>
      <c r="N35" s="19">
        <f t="shared" si="1"/>
        <v>0</v>
      </c>
      <c r="O35" s="11"/>
      <c r="P35" s="2">
        <f>--3098.91</f>
        <v>3098.91</v>
      </c>
      <c r="Q35" s="2"/>
      <c r="R35" s="19"/>
      <c r="S35" s="2"/>
      <c r="T35" s="2"/>
      <c r="U35" s="2"/>
      <c r="V35" s="19"/>
      <c r="W35" s="2"/>
      <c r="X35" s="2">
        <f t="shared" si="2"/>
        <v>3098.91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--503.73</f>
        <v>503.73</v>
      </c>
      <c r="E36" s="2"/>
      <c r="F36" s="19"/>
      <c r="G36" s="2"/>
      <c r="H36" s="2"/>
      <c r="I36" s="2"/>
      <c r="J36" s="19"/>
      <c r="K36" s="2"/>
      <c r="L36" s="2">
        <f t="shared" si="0"/>
        <v>503.73</v>
      </c>
      <c r="M36" s="2"/>
      <c r="N36" s="19">
        <f t="shared" si="1"/>
        <v>0</v>
      </c>
      <c r="O36" s="11"/>
      <c r="P36" s="2">
        <f>--59450.9</f>
        <v>59450.9</v>
      </c>
      <c r="Q36" s="2"/>
      <c r="R36" s="19"/>
      <c r="S36" s="2"/>
      <c r="T36" s="2"/>
      <c r="U36" s="2"/>
      <c r="V36" s="19"/>
      <c r="W36" s="2"/>
      <c r="X36" s="2">
        <f t="shared" si="2"/>
        <v>59450.9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"4095", " - ", "TAXABLE SALES-CUSTOMER SERVICE")</f>
        <v xml:space="preserve">          4095 - TAXABLE SALES-CUSTOMER SERVICE</v>
      </c>
      <c r="C37" s="11"/>
      <c r="D37" s="2">
        <f>--775.28</f>
        <v>775.28</v>
      </c>
      <c r="E37" s="2"/>
      <c r="F37" s="19"/>
      <c r="G37" s="2"/>
      <c r="H37" s="2"/>
      <c r="I37" s="2"/>
      <c r="J37" s="19"/>
      <c r="K37" s="2"/>
      <c r="L37" s="2">
        <f t="shared" si="0"/>
        <v>775.28</v>
      </c>
      <c r="M37" s="2"/>
      <c r="N37" s="19">
        <f t="shared" si="1"/>
        <v>0</v>
      </c>
      <c r="O37" s="11"/>
      <c r="P37" s="2">
        <f>--915.13</f>
        <v>915.13</v>
      </c>
      <c r="Q37" s="2"/>
      <c r="R37" s="19"/>
      <c r="S37" s="2"/>
      <c r="T37" s="2"/>
      <c r="U37" s="2"/>
      <c r="V37" s="19"/>
      <c r="W37" s="2"/>
      <c r="X37" s="2">
        <f t="shared" si="2"/>
        <v>915.13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"4100", " - ", "NON-TAXABLE SALES")</f>
        <v xml:space="preserve">          4100 - NON-TAXABLE SALES</v>
      </c>
      <c r="C38" s="11"/>
      <c r="D38" s="2">
        <f>--2050.54</f>
        <v>2050.54</v>
      </c>
      <c r="E38" s="2"/>
      <c r="F38" s="19"/>
      <c r="G38" s="2"/>
      <c r="H38" s="2">
        <v>58078</v>
      </c>
      <c r="I38" s="2"/>
      <c r="J38" s="19"/>
      <c r="K38" s="2"/>
      <c r="L38" s="2">
        <f t="shared" si="0"/>
        <v>-56027.46</v>
      </c>
      <c r="M38" s="2"/>
      <c r="N38" s="19">
        <f t="shared" si="1"/>
        <v>-0.96469334343469126</v>
      </c>
      <c r="O38" s="11"/>
      <c r="P38" s="2">
        <f>--286224.1</f>
        <v>286224.09999999998</v>
      </c>
      <c r="Q38" s="2"/>
      <c r="R38" s="19"/>
      <c r="S38" s="2"/>
      <c r="T38" s="2">
        <v>338212</v>
      </c>
      <c r="U38" s="2"/>
      <c r="V38" s="19"/>
      <c r="W38" s="2"/>
      <c r="X38" s="2">
        <f t="shared" si="2"/>
        <v>-51987.900000000023</v>
      </c>
      <c r="Y38" s="2"/>
      <c r="Z38" s="19">
        <f t="shared" si="3"/>
        <v>-0.15371394273414316</v>
      </c>
    </row>
    <row r="39" spans="1:26" s="24" customFormat="1" hidden="1" outlineLevel="1" x14ac:dyDescent="0.25">
      <c r="A39" s="44"/>
      <c r="B39" s="11" t="str">
        <f>CONCATENATE("          ", "4101", " - ", "NON-TAXABLE SALES-NEW TEXT")</f>
        <v xml:space="preserve">          4101 - NON-TAXABLE SALES-NEW TEXT</v>
      </c>
      <c r="C39" s="11"/>
      <c r="D39" s="2">
        <f>--1044.17</f>
        <v>1044.17</v>
      </c>
      <c r="E39" s="2"/>
      <c r="F39" s="19"/>
      <c r="G39" s="2"/>
      <c r="H39" s="2"/>
      <c r="I39" s="2"/>
      <c r="J39" s="19"/>
      <c r="K39" s="2"/>
      <c r="L39" s="2">
        <f t="shared" si="0"/>
        <v>1044.17</v>
      </c>
      <c r="M39" s="2"/>
      <c r="N39" s="19">
        <f t="shared" si="1"/>
        <v>0</v>
      </c>
      <c r="O39" s="11"/>
      <c r="P39" s="2">
        <f>--112055.71</f>
        <v>112055.71</v>
      </c>
      <c r="Q39" s="2"/>
      <c r="R39" s="19"/>
      <c r="S39" s="2"/>
      <c r="T39" s="2"/>
      <c r="U39" s="2"/>
      <c r="V39" s="19"/>
      <c r="W39" s="2"/>
      <c r="X39" s="2">
        <f t="shared" si="2"/>
        <v>112055.71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"4102", " - ", "NON-TAXABLE SALES-USED TEXT")</f>
        <v xml:space="preserve">          4102 - NON-TAXABLE SALES-USED TEXT</v>
      </c>
      <c r="C40" s="11"/>
      <c r="D40" s="2">
        <f>--1572.06</f>
        <v>1572.06</v>
      </c>
      <c r="E40" s="2"/>
      <c r="F40" s="19"/>
      <c r="G40" s="2"/>
      <c r="H40" s="2"/>
      <c r="I40" s="2"/>
      <c r="J40" s="19"/>
      <c r="K40" s="2"/>
      <c r="L40" s="2">
        <f t="shared" si="0"/>
        <v>1572.06</v>
      </c>
      <c r="M40" s="2"/>
      <c r="N40" s="19">
        <f t="shared" si="1"/>
        <v>0</v>
      </c>
      <c r="O40" s="11"/>
      <c r="P40" s="2">
        <f>--47959.43</f>
        <v>47959.43</v>
      </c>
      <c r="Q40" s="2"/>
      <c r="R40" s="19"/>
      <c r="S40" s="2"/>
      <c r="T40" s="2"/>
      <c r="U40" s="2"/>
      <c r="V40" s="19"/>
      <c r="W40" s="2"/>
      <c r="X40" s="2">
        <f t="shared" si="2"/>
        <v>47959.43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"4103", " - ", "NON-TAXABLE SALES-RENTAL TEXT")</f>
        <v xml:space="preserve">          4103 - NON-TAXABLE SALES-RENTAL TEXT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--1138.95</f>
        <v>1138.95</v>
      </c>
      <c r="Q41" s="2"/>
      <c r="R41" s="19"/>
      <c r="S41" s="2"/>
      <c r="T41" s="2"/>
      <c r="U41" s="2"/>
      <c r="V41" s="19"/>
      <c r="W41" s="2"/>
      <c r="X41" s="2">
        <f t="shared" si="2"/>
        <v>1138.95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"4104", " - ", "NON-TAXABLE SALES-DIGITAL TEXT")</f>
        <v xml:space="preserve">          4104 - NON-TAXABLE SALES-DIGITAL TEXT</v>
      </c>
      <c r="C42" s="11"/>
      <c r="D42" s="2">
        <f>--1097.13</f>
        <v>1097.1300000000001</v>
      </c>
      <c r="E42" s="2"/>
      <c r="F42" s="19"/>
      <c r="G42" s="2"/>
      <c r="H42" s="2"/>
      <c r="I42" s="2"/>
      <c r="J42" s="19"/>
      <c r="K42" s="2"/>
      <c r="L42" s="2">
        <f t="shared" si="0"/>
        <v>1097.1300000000001</v>
      </c>
      <c r="M42" s="2"/>
      <c r="N42" s="19">
        <f t="shared" si="1"/>
        <v>0</v>
      </c>
      <c r="O42" s="11"/>
      <c r="P42" s="2">
        <f>--476971.18</f>
        <v>476971.18</v>
      </c>
      <c r="Q42" s="2"/>
      <c r="R42" s="19"/>
      <c r="S42" s="2"/>
      <c r="T42" s="2"/>
      <c r="U42" s="2"/>
      <c r="V42" s="19"/>
      <c r="W42" s="2"/>
      <c r="X42" s="2">
        <f t="shared" si="2"/>
        <v>476971.18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"4113", " - ", "NON-TAXABLE SALES-TRADE BOOKS")</f>
        <v xml:space="preserve">          4113 - NON-TAXABLE SALES-TRADE BOOKS</v>
      </c>
      <c r="C43" s="11"/>
      <c r="D43" s="2">
        <f>--1250</f>
        <v>1250</v>
      </c>
      <c r="E43" s="2"/>
      <c r="F43" s="19"/>
      <c r="G43" s="2"/>
      <c r="H43" s="2"/>
      <c r="I43" s="2"/>
      <c r="J43" s="19"/>
      <c r="K43" s="2"/>
      <c r="L43" s="2">
        <f t="shared" si="0"/>
        <v>1250</v>
      </c>
      <c r="M43" s="2"/>
      <c r="N43" s="19">
        <f t="shared" si="1"/>
        <v>0</v>
      </c>
      <c r="O43" s="11"/>
      <c r="P43" s="2">
        <f>--11389.25</f>
        <v>11389.25</v>
      </c>
      <c r="Q43" s="2"/>
      <c r="R43" s="19"/>
      <c r="S43" s="2"/>
      <c r="T43" s="2"/>
      <c r="U43" s="2"/>
      <c r="V43" s="19"/>
      <c r="W43" s="2"/>
      <c r="X43" s="2">
        <f t="shared" si="2"/>
        <v>11389.25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"4118", " - ", "NON-TAXABLE SALES-STUDY GUIDES")</f>
        <v xml:space="preserve">          4118 - NON-TAXABLE SALES-STUDY GUIDES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--771.73</f>
        <v>771.73</v>
      </c>
      <c r="Q44" s="2"/>
      <c r="R44" s="19"/>
      <c r="S44" s="2"/>
      <c r="T44" s="2"/>
      <c r="U44" s="2"/>
      <c r="V44" s="19"/>
      <c r="W44" s="2"/>
      <c r="X44" s="2">
        <f t="shared" si="2"/>
        <v>771.73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"4126", " - ", "NON-TAXABLE SALES-WRITING INST")</f>
        <v xml:space="preserve">          4126 - NON-TAXABLE SALES-WRITING INST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--52.68</f>
        <v>52.68</v>
      </c>
      <c r="Q45" s="2"/>
      <c r="R45" s="19"/>
      <c r="S45" s="2"/>
      <c r="T45" s="2"/>
      <c r="U45" s="2"/>
      <c r="V45" s="19"/>
      <c r="W45" s="2"/>
      <c r="X45" s="2">
        <f t="shared" si="2"/>
        <v>52.68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"4127", " - ", "NON-TAXABLE SALES-SCHOOL SUPPL")</f>
        <v xml:space="preserve">          4127 - NON-TAXABLE SALES-SCHOOL SUPPL</v>
      </c>
      <c r="C46" s="11"/>
      <c r="D46" s="2">
        <f>--389.95</f>
        <v>389.95</v>
      </c>
      <c r="E46" s="2"/>
      <c r="F46" s="19"/>
      <c r="G46" s="2"/>
      <c r="H46" s="2"/>
      <c r="I46" s="2"/>
      <c r="J46" s="19"/>
      <c r="K46" s="2"/>
      <c r="L46" s="2">
        <f t="shared" si="0"/>
        <v>389.95</v>
      </c>
      <c r="M46" s="2"/>
      <c r="N46" s="19">
        <f t="shared" si="1"/>
        <v>0</v>
      </c>
      <c r="O46" s="11"/>
      <c r="P46" s="2">
        <f>--6607.31</f>
        <v>6607.31</v>
      </c>
      <c r="Q46" s="2"/>
      <c r="R46" s="19"/>
      <c r="S46" s="2"/>
      <c r="T46" s="2"/>
      <c r="U46" s="2"/>
      <c r="V46" s="19"/>
      <c r="W46" s="2"/>
      <c r="X46" s="2">
        <f t="shared" si="2"/>
        <v>6607.31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"4128", " - ", "NON-TAXABLE SALES-ART/TECH")</f>
        <v xml:space="preserve">          4128 - NON-TAXABLE SALES-ART/TECH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--38.58</f>
        <v>38.58</v>
      </c>
      <c r="Q47" s="2"/>
      <c r="R47" s="19"/>
      <c r="S47" s="2"/>
      <c r="T47" s="2"/>
      <c r="U47" s="2"/>
      <c r="V47" s="19"/>
      <c r="W47" s="2"/>
      <c r="X47" s="2">
        <f t="shared" si="2"/>
        <v>38.58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"4131", " - ", "NON-TAXABLE SALES-FOOD")</f>
        <v xml:space="preserve">          4131 - NON-TAXABLE SALES-FOOD</v>
      </c>
      <c r="C48" s="11"/>
      <c r="D48" s="2">
        <f>--829.28</f>
        <v>829.28</v>
      </c>
      <c r="E48" s="2"/>
      <c r="F48" s="19"/>
      <c r="G48" s="2"/>
      <c r="H48" s="2"/>
      <c r="I48" s="2"/>
      <c r="J48" s="19"/>
      <c r="K48" s="2"/>
      <c r="L48" s="2">
        <f t="shared" si="0"/>
        <v>829.28</v>
      </c>
      <c r="M48" s="2"/>
      <c r="N48" s="19">
        <f t="shared" si="1"/>
        <v>0</v>
      </c>
      <c r="O48" s="11"/>
      <c r="P48" s="2">
        <f>--10404.43</f>
        <v>10404.43</v>
      </c>
      <c r="Q48" s="2"/>
      <c r="R48" s="19"/>
      <c r="S48" s="2"/>
      <c r="T48" s="2"/>
      <c r="U48" s="2"/>
      <c r="V48" s="19"/>
      <c r="W48" s="2"/>
      <c r="X48" s="2">
        <f t="shared" si="2"/>
        <v>10404.43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ref="D49:D52" si="5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--22.49</f>
        <v>22.49</v>
      </c>
      <c r="Q49" s="2"/>
      <c r="R49" s="19"/>
      <c r="S49" s="2"/>
      <c r="T49" s="2"/>
      <c r="U49" s="2"/>
      <c r="V49" s="19"/>
      <c r="W49" s="2"/>
      <c r="X49" s="2">
        <f t="shared" si="2"/>
        <v>22.49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--80.71</f>
        <v>80.709999999999994</v>
      </c>
      <c r="Q50" s="2"/>
      <c r="R50" s="19"/>
      <c r="S50" s="2"/>
      <c r="T50" s="2"/>
      <c r="U50" s="2"/>
      <c r="V50" s="19"/>
      <c r="W50" s="2"/>
      <c r="X50" s="2">
        <f t="shared" si="2"/>
        <v>80.709999999999994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5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--45.53</f>
        <v>45.53</v>
      </c>
      <c r="Q51" s="2"/>
      <c r="R51" s="19"/>
      <c r="S51" s="2"/>
      <c r="T51" s="2"/>
      <c r="U51" s="2"/>
      <c r="V51" s="19"/>
      <c r="W51" s="2"/>
      <c r="X51" s="2">
        <f t="shared" si="2"/>
        <v>45.53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5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--68.25</f>
        <v>68.25</v>
      </c>
      <c r="Q52" s="2"/>
      <c r="R52" s="19"/>
      <c r="S52" s="2"/>
      <c r="T52" s="2"/>
      <c r="U52" s="2"/>
      <c r="V52" s="19"/>
      <c r="W52" s="2"/>
      <c r="X52" s="2">
        <f t="shared" si="2"/>
        <v>68.25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--16626.41</f>
        <v>16626.41</v>
      </c>
      <c r="E53" s="2"/>
      <c r="F53" s="19"/>
      <c r="G53" s="2"/>
      <c r="H53" s="2"/>
      <c r="I53" s="2"/>
      <c r="J53" s="19"/>
      <c r="K53" s="2"/>
      <c r="L53" s="2">
        <f t="shared" si="0"/>
        <v>16626.41</v>
      </c>
      <c r="M53" s="2"/>
      <c r="N53" s="19">
        <f t="shared" si="1"/>
        <v>0</v>
      </c>
      <c r="O53" s="11"/>
      <c r="P53" s="2">
        <f>--131751.69</f>
        <v>131751.69</v>
      </c>
      <c r="Q53" s="2"/>
      <c r="R53" s="19"/>
      <c r="S53" s="2"/>
      <c r="T53" s="2"/>
      <c r="U53" s="2"/>
      <c r="V53" s="19"/>
      <c r="W53" s="2"/>
      <c r="X53" s="2">
        <f t="shared" si="2"/>
        <v>131751.69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--1055.22</f>
        <v>1055.22</v>
      </c>
      <c r="E54" s="2"/>
      <c r="F54" s="19"/>
      <c r="G54" s="2"/>
      <c r="H54" s="2"/>
      <c r="I54" s="2"/>
      <c r="J54" s="19"/>
      <c r="K54" s="2"/>
      <c r="L54" s="2">
        <f t="shared" si="0"/>
        <v>1055.22</v>
      </c>
      <c r="M54" s="2"/>
      <c r="N54" s="19">
        <f t="shared" si="1"/>
        <v>0</v>
      </c>
      <c r="O54" s="11"/>
      <c r="P54" s="2">
        <f>--9568.24</f>
        <v>9568.24</v>
      </c>
      <c r="Q54" s="2"/>
      <c r="R54" s="19"/>
      <c r="S54" s="2"/>
      <c r="T54" s="2"/>
      <c r="U54" s="2"/>
      <c r="V54" s="19"/>
      <c r="W54" s="2"/>
      <c r="X54" s="2">
        <f t="shared" si="2"/>
        <v>9568.24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--16.9</f>
        <v>16.899999999999999</v>
      </c>
      <c r="E55" s="2"/>
      <c r="F55" s="19"/>
      <c r="G55" s="2"/>
      <c r="H55" s="2"/>
      <c r="I55" s="2"/>
      <c r="J55" s="19"/>
      <c r="K55" s="2"/>
      <c r="L55" s="2">
        <f t="shared" si="0"/>
        <v>16.899999999999999</v>
      </c>
      <c r="M55" s="2"/>
      <c r="N55" s="19">
        <f t="shared" si="1"/>
        <v>0</v>
      </c>
      <c r="O55" s="11"/>
      <c r="P55" s="2">
        <f>--2281.37</f>
        <v>2281.37</v>
      </c>
      <c r="Q55" s="2"/>
      <c r="R55" s="19"/>
      <c r="S55" s="2"/>
      <c r="T55" s="2"/>
      <c r="U55" s="2"/>
      <c r="V55" s="19"/>
      <c r="W55" s="2"/>
      <c r="X55" s="2">
        <f t="shared" si="2"/>
        <v>2281.37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"4143", " - ", "NON-TAXABLE SALES-CARDS")</f>
        <v xml:space="preserve">          4143 - NON-TAXABLE SALES-CARDS</v>
      </c>
      <c r="C56" s="11"/>
      <c r="D56" s="2">
        <f>--261.82</f>
        <v>261.82</v>
      </c>
      <c r="E56" s="2"/>
      <c r="F56" s="19"/>
      <c r="G56" s="2"/>
      <c r="H56" s="2"/>
      <c r="I56" s="2"/>
      <c r="J56" s="19"/>
      <c r="K56" s="2"/>
      <c r="L56" s="2">
        <f t="shared" si="0"/>
        <v>261.82</v>
      </c>
      <c r="M56" s="2"/>
      <c r="N56" s="19">
        <f t="shared" si="1"/>
        <v>0</v>
      </c>
      <c r="O56" s="11"/>
      <c r="P56" s="2">
        <f>--2381.48</f>
        <v>2381.48</v>
      </c>
      <c r="Q56" s="2"/>
      <c r="R56" s="19"/>
      <c r="S56" s="2"/>
      <c r="T56" s="2"/>
      <c r="U56" s="2"/>
      <c r="V56" s="19"/>
      <c r="W56" s="2"/>
      <c r="X56" s="2">
        <f t="shared" si="2"/>
        <v>2381.48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--29.9</f>
        <v>29.9</v>
      </c>
      <c r="E57" s="2"/>
      <c r="F57" s="19"/>
      <c r="G57" s="2"/>
      <c r="H57" s="2"/>
      <c r="I57" s="2"/>
      <c r="J57" s="19"/>
      <c r="K57" s="2"/>
      <c r="L57" s="2">
        <f t="shared" si="0"/>
        <v>29.9</v>
      </c>
      <c r="M57" s="2"/>
      <c r="N57" s="19">
        <f t="shared" si="1"/>
        <v>0</v>
      </c>
      <c r="O57" s="11"/>
      <c r="P57" s="2">
        <f>--679.25</f>
        <v>679.25</v>
      </c>
      <c r="Q57" s="2"/>
      <c r="R57" s="19"/>
      <c r="S57" s="2"/>
      <c r="T57" s="2"/>
      <c r="U57" s="2"/>
      <c r="V57" s="19"/>
      <c r="W57" s="2"/>
      <c r="X57" s="2">
        <f t="shared" si="2"/>
        <v>679.25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--53716.09</f>
        <v>53716.09</v>
      </c>
      <c r="Q58" s="2"/>
      <c r="R58" s="19"/>
      <c r="S58" s="2"/>
      <c r="T58" s="2"/>
      <c r="U58" s="2"/>
      <c r="V58" s="19"/>
      <c r="W58" s="2"/>
      <c r="X58" s="2">
        <f t="shared" si="2"/>
        <v>53716.09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--90.7</f>
        <v>90.7</v>
      </c>
      <c r="E59" s="2"/>
      <c r="F59" s="19"/>
      <c r="G59" s="2"/>
      <c r="H59" s="2"/>
      <c r="I59" s="2"/>
      <c r="J59" s="19"/>
      <c r="K59" s="2"/>
      <c r="L59" s="2">
        <f t="shared" si="0"/>
        <v>90.7</v>
      </c>
      <c r="M59" s="2"/>
      <c r="N59" s="19">
        <f t="shared" si="1"/>
        <v>0</v>
      </c>
      <c r="O59" s="11"/>
      <c r="P59" s="2">
        <f>--299.1</f>
        <v>299.10000000000002</v>
      </c>
      <c r="Q59" s="2"/>
      <c r="R59" s="19"/>
      <c r="S59" s="2"/>
      <c r="T59" s="2"/>
      <c r="U59" s="2"/>
      <c r="V59" s="19"/>
      <c r="W59" s="2"/>
      <c r="X59" s="2">
        <f t="shared" si="2"/>
        <v>299.10000000000002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"4147", " - ", "NON-TAXABLE SALES-MISC")</f>
        <v xml:space="preserve">          4147 - NON-TAXABLE SALES-MISC</v>
      </c>
      <c r="C60" s="11"/>
      <c r="D60" s="2">
        <f>--11</f>
        <v>11</v>
      </c>
      <c r="E60" s="2"/>
      <c r="F60" s="19"/>
      <c r="G60" s="2"/>
      <c r="H60" s="2"/>
      <c r="I60" s="2"/>
      <c r="J60" s="19"/>
      <c r="K60" s="2"/>
      <c r="L60" s="2">
        <f t="shared" si="0"/>
        <v>11</v>
      </c>
      <c r="M60" s="2"/>
      <c r="N60" s="19">
        <f t="shared" si="1"/>
        <v>0</v>
      </c>
      <c r="O60" s="11"/>
      <c r="P60" s="2">
        <f>--143.5</f>
        <v>143.5</v>
      </c>
      <c r="Q60" s="2"/>
      <c r="R60" s="19"/>
      <c r="S60" s="2"/>
      <c r="T60" s="2"/>
      <c r="U60" s="2"/>
      <c r="V60" s="19"/>
      <c r="W60" s="2"/>
      <c r="X60" s="2">
        <f t="shared" si="2"/>
        <v>143.5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"4181", " - ", "NON-TAXABLE SALES-ELECTRONICS")</f>
        <v xml:space="preserve">          4181 - NON-TAXABLE SALES-ELECTRONICS</v>
      </c>
      <c r="C61" s="11"/>
      <c r="D61" s="2">
        <f>--285.97</f>
        <v>285.97000000000003</v>
      </c>
      <c r="E61" s="2"/>
      <c r="F61" s="19"/>
      <c r="G61" s="2"/>
      <c r="H61" s="2"/>
      <c r="I61" s="2"/>
      <c r="J61" s="19"/>
      <c r="K61" s="2"/>
      <c r="L61" s="2">
        <f t="shared" si="0"/>
        <v>285.97000000000003</v>
      </c>
      <c r="M61" s="2"/>
      <c r="N61" s="19">
        <f t="shared" si="1"/>
        <v>0</v>
      </c>
      <c r="O61" s="11"/>
      <c r="P61" s="2">
        <f>--12478.63</f>
        <v>12478.63</v>
      </c>
      <c r="Q61" s="2"/>
      <c r="R61" s="19"/>
      <c r="S61" s="2"/>
      <c r="T61" s="2"/>
      <c r="U61" s="2"/>
      <c r="V61" s="19"/>
      <c r="W61" s="2"/>
      <c r="X61" s="2">
        <f t="shared" si="2"/>
        <v>12478.63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"4182", " - ", "NON-TAXABLE SALES-COMPUTER HAR")</f>
        <v xml:space="preserve">          4182 - NON-TAXABLE SALES-COMPUTER HAR</v>
      </c>
      <c r="C62" s="11"/>
      <c r="D62" s="2">
        <f>--33767.84</f>
        <v>33767.839999999997</v>
      </c>
      <c r="E62" s="2"/>
      <c r="F62" s="19"/>
      <c r="G62" s="2"/>
      <c r="H62" s="2"/>
      <c r="I62" s="2"/>
      <c r="J62" s="19"/>
      <c r="K62" s="2"/>
      <c r="L62" s="2">
        <f t="shared" si="0"/>
        <v>33767.839999999997</v>
      </c>
      <c r="M62" s="2"/>
      <c r="N62" s="19">
        <f t="shared" si="1"/>
        <v>0</v>
      </c>
      <c r="O62" s="11"/>
      <c r="P62" s="2">
        <f>--253414.83</f>
        <v>253414.83</v>
      </c>
      <c r="Q62" s="2"/>
      <c r="R62" s="19"/>
      <c r="S62" s="2"/>
      <c r="T62" s="2"/>
      <c r="U62" s="2"/>
      <c r="V62" s="19"/>
      <c r="W62" s="2"/>
      <c r="X62" s="2">
        <f t="shared" si="2"/>
        <v>253414.83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"4183", " - ", "NON-TAXABLE SALES-COMPUTER EQU")</f>
        <v xml:space="preserve">          4183 - NON-TAXABLE SALES-COMPUTER EQU</v>
      </c>
      <c r="C63" s="11"/>
      <c r="D63" s="2">
        <f>--2983.61</f>
        <v>2983.61</v>
      </c>
      <c r="E63" s="2"/>
      <c r="F63" s="19"/>
      <c r="G63" s="2"/>
      <c r="H63" s="2"/>
      <c r="I63" s="2"/>
      <c r="J63" s="19"/>
      <c r="K63" s="2"/>
      <c r="L63" s="2">
        <f t="shared" si="0"/>
        <v>2983.61</v>
      </c>
      <c r="M63" s="2"/>
      <c r="N63" s="19">
        <f t="shared" si="1"/>
        <v>0</v>
      </c>
      <c r="O63" s="11"/>
      <c r="P63" s="2">
        <f>--16606.43</f>
        <v>16606.43</v>
      </c>
      <c r="Q63" s="2"/>
      <c r="R63" s="19"/>
      <c r="S63" s="2"/>
      <c r="T63" s="2"/>
      <c r="U63" s="2"/>
      <c r="V63" s="19"/>
      <c r="W63" s="2"/>
      <c r="X63" s="2">
        <f t="shared" si="2"/>
        <v>16606.43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"4185", " - ", "NON-TAXABLE SALES-SOFTWARE")</f>
        <v xml:space="preserve">          4185 - NON-TAXABLE SALES-SOFTWARE</v>
      </c>
      <c r="C64" s="11"/>
      <c r="D64" s="2">
        <f>--3559.59</f>
        <v>3559.59</v>
      </c>
      <c r="E64" s="2"/>
      <c r="F64" s="19"/>
      <c r="G64" s="2"/>
      <c r="H64" s="2"/>
      <c r="I64" s="2"/>
      <c r="J64" s="19"/>
      <c r="K64" s="2"/>
      <c r="L64" s="2">
        <f t="shared" si="0"/>
        <v>3559.59</v>
      </c>
      <c r="M64" s="2"/>
      <c r="N64" s="19">
        <f t="shared" si="1"/>
        <v>0</v>
      </c>
      <c r="O64" s="11"/>
      <c r="P64" s="2">
        <f>--38686.78</f>
        <v>38686.78</v>
      </c>
      <c r="Q64" s="2"/>
      <c r="R64" s="19"/>
      <c r="S64" s="2"/>
      <c r="T64" s="2"/>
      <c r="U64" s="2"/>
      <c r="V64" s="19"/>
      <c r="W64" s="2"/>
      <c r="X64" s="2">
        <f t="shared" si="2"/>
        <v>38686.78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"4186", " - ", "NON-TAXABLE SALES-COMPUTER SUP")</f>
        <v xml:space="preserve">          4186 - NON-TAXABLE SALES-COMPUTER SUP</v>
      </c>
      <c r="C65" s="11"/>
      <c r="D65" s="2">
        <f>--424.94</f>
        <v>424.94</v>
      </c>
      <c r="E65" s="2"/>
      <c r="F65" s="19"/>
      <c r="G65" s="2"/>
      <c r="H65" s="2"/>
      <c r="I65" s="2"/>
      <c r="J65" s="19"/>
      <c r="K65" s="2"/>
      <c r="L65" s="2">
        <f t="shared" si="0"/>
        <v>424.94</v>
      </c>
      <c r="M65" s="2"/>
      <c r="N65" s="19">
        <f t="shared" si="1"/>
        <v>0</v>
      </c>
      <c r="O65" s="11"/>
      <c r="P65" s="2">
        <f>--3255.2</f>
        <v>3255.2</v>
      </c>
      <c r="Q65" s="2"/>
      <c r="R65" s="19"/>
      <c r="S65" s="2"/>
      <c r="T65" s="2"/>
      <c r="U65" s="2"/>
      <c r="V65" s="19"/>
      <c r="W65" s="2"/>
      <c r="X65" s="2">
        <f t="shared" si="2"/>
        <v>3255.2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-596.94</f>
        <v>-596.94000000000005</v>
      </c>
      <c r="E66" s="2"/>
      <c r="F66" s="19"/>
      <c r="G66" s="2"/>
      <c r="H66" s="2"/>
      <c r="I66" s="2"/>
      <c r="J66" s="19"/>
      <c r="K66" s="2"/>
      <c r="L66" s="2">
        <f t="shared" si="0"/>
        <v>-596.94000000000005</v>
      </c>
      <c r="M66" s="2"/>
      <c r="N66" s="19">
        <f t="shared" si="1"/>
        <v>0</v>
      </c>
      <c r="O66" s="11"/>
      <c r="P66" s="2">
        <f>-51261.17</f>
        <v>-51261.17</v>
      </c>
      <c r="Q66" s="2"/>
      <c r="R66" s="19"/>
      <c r="S66" s="2"/>
      <c r="T66" s="2"/>
      <c r="U66" s="2"/>
      <c r="V66" s="19"/>
      <c r="W66" s="2"/>
      <c r="X66" s="2">
        <f t="shared" si="2"/>
        <v>-51261.17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-153.8</f>
        <v>-153.80000000000001</v>
      </c>
      <c r="E67" s="2"/>
      <c r="F67" s="19"/>
      <c r="G67" s="2"/>
      <c r="H67" s="2"/>
      <c r="I67" s="2"/>
      <c r="J67" s="19"/>
      <c r="K67" s="2"/>
      <c r="L67" s="2">
        <f t="shared" si="0"/>
        <v>-153.80000000000001</v>
      </c>
      <c r="M67" s="2"/>
      <c r="N67" s="19">
        <f t="shared" si="1"/>
        <v>0</v>
      </c>
      <c r="O67" s="11"/>
      <c r="P67" s="2">
        <f>-19889.31</f>
        <v>-19889.310000000001</v>
      </c>
      <c r="Q67" s="2"/>
      <c r="R67" s="19"/>
      <c r="S67" s="2"/>
      <c r="T67" s="2"/>
      <c r="U67" s="2"/>
      <c r="V67" s="19"/>
      <c r="W67" s="2"/>
      <c r="X67" s="2">
        <f t="shared" si="2"/>
        <v>-19889.310000000001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 t="shared" ref="D68:D69" si="6"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-1763.1</f>
        <v>-1763.1</v>
      </c>
      <c r="Q68" s="2"/>
      <c r="R68" s="19"/>
      <c r="S68" s="2"/>
      <c r="T68" s="2"/>
      <c r="U68" s="2"/>
      <c r="V68" s="19"/>
      <c r="W68" s="2"/>
      <c r="X68" s="2">
        <f t="shared" si="2"/>
        <v>-1763.1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"4213", " - ", "NON-TAXABLE SALES-TRADE BOOKS")</f>
        <v xml:space="preserve">          4213 - NON-TAXABLE SALES-TRADE BOOKS</v>
      </c>
      <c r="C69" s="11"/>
      <c r="D69" s="2">
        <f t="shared" si="6"/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-69.93</f>
        <v>-69.930000000000007</v>
      </c>
      <c r="Q69" s="2"/>
      <c r="R69" s="19"/>
      <c r="S69" s="2"/>
      <c r="T69" s="2"/>
      <c r="U69" s="2"/>
      <c r="V69" s="19"/>
      <c r="W69" s="2"/>
      <c r="X69" s="2">
        <f t="shared" si="2"/>
        <v>-69.930000000000007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"4218", " - ", "SALES RETURN TAXABLE-STUDY GUI")</f>
        <v xml:space="preserve">          4218 - SALES RETURN TAXABLE-STUDY GUI</v>
      </c>
      <c r="C70" s="11"/>
      <c r="D70" s="2">
        <f>-5.21</f>
        <v>-5.21</v>
      </c>
      <c r="E70" s="2"/>
      <c r="F70" s="19"/>
      <c r="G70" s="2"/>
      <c r="H70" s="2"/>
      <c r="I70" s="2"/>
      <c r="J70" s="19"/>
      <c r="K70" s="2"/>
      <c r="L70" s="2">
        <f t="shared" si="0"/>
        <v>-5.21</v>
      </c>
      <c r="M70" s="2"/>
      <c r="N70" s="19">
        <f t="shared" si="1"/>
        <v>0</v>
      </c>
      <c r="O70" s="11"/>
      <c r="P70" s="2">
        <f>-5.21</f>
        <v>-5.21</v>
      </c>
      <c r="Q70" s="2"/>
      <c r="R70" s="19"/>
      <c r="S70" s="2"/>
      <c r="T70" s="2"/>
      <c r="U70" s="2"/>
      <c r="V70" s="19"/>
      <c r="W70" s="2"/>
      <c r="X70" s="2">
        <f t="shared" si="2"/>
        <v>-5.21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"4226", " - ", "SALES RETURN TAXABLE-WRITING I")</f>
        <v xml:space="preserve">          4226 - SALES RETURN TAXABLE-WRITING I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-34.23</f>
        <v>-34.229999999999997</v>
      </c>
      <c r="Q71" s="2"/>
      <c r="R71" s="19"/>
      <c r="S71" s="2"/>
      <c r="T71" s="2"/>
      <c r="U71" s="2"/>
      <c r="V71" s="19"/>
      <c r="W71" s="2"/>
      <c r="X71" s="2">
        <f t="shared" si="2"/>
        <v>-34.229999999999997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"4227", " - ", "SALES RETURN TAXABLE-SCHOOL SU")</f>
        <v xml:space="preserve">          4227 - SALES RETURN TAXABLE-SCHOOL SU</v>
      </c>
      <c r="C72" s="11"/>
      <c r="D72" s="2">
        <f>-64.39</f>
        <v>-64.39</v>
      </c>
      <c r="E72" s="2"/>
      <c r="F72" s="19"/>
      <c r="G72" s="2"/>
      <c r="H72" s="2"/>
      <c r="I72" s="2"/>
      <c r="J72" s="19"/>
      <c r="K72" s="2"/>
      <c r="L72" s="2">
        <f t="shared" si="0"/>
        <v>-64.39</v>
      </c>
      <c r="M72" s="2"/>
      <c r="N72" s="19">
        <f t="shared" si="1"/>
        <v>0</v>
      </c>
      <c r="O72" s="11"/>
      <c r="P72" s="2">
        <f>-846.12</f>
        <v>-846.12</v>
      </c>
      <c r="Q72" s="2"/>
      <c r="R72" s="19"/>
      <c r="S72" s="2"/>
      <c r="T72" s="2"/>
      <c r="U72" s="2"/>
      <c r="V72" s="19"/>
      <c r="W72" s="2"/>
      <c r="X72" s="2">
        <f t="shared" si="2"/>
        <v>-846.12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"4228", " - ", "SALES RETURN TAXABLE-ART/TECH")</f>
        <v xml:space="preserve">          4228 - SALES RETURN TAXABLE-ART/TECH</v>
      </c>
      <c r="C73" s="11"/>
      <c r="D73" s="2">
        <f>-98.38</f>
        <v>-98.38</v>
      </c>
      <c r="E73" s="2"/>
      <c r="F73" s="19"/>
      <c r="G73" s="2"/>
      <c r="H73" s="2"/>
      <c r="I73" s="2"/>
      <c r="J73" s="19"/>
      <c r="K73" s="2"/>
      <c r="L73" s="2">
        <f t="shared" si="0"/>
        <v>-98.38</v>
      </c>
      <c r="M73" s="2"/>
      <c r="N73" s="19">
        <f t="shared" si="1"/>
        <v>0</v>
      </c>
      <c r="O73" s="11"/>
      <c r="P73" s="2">
        <f>-12837.62</f>
        <v>-12837.62</v>
      </c>
      <c r="Q73" s="2"/>
      <c r="R73" s="19"/>
      <c r="S73" s="2"/>
      <c r="T73" s="2"/>
      <c r="U73" s="2"/>
      <c r="V73" s="19"/>
      <c r="W73" s="2"/>
      <c r="X73" s="2">
        <f t="shared" si="2"/>
        <v>-12837.62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"4240", " - ", "SALES RETURN TAXABLE-LOGO CLOT")</f>
        <v xml:space="preserve">          4240 - SALES RETURN TAXABLE-LOGO CLOT</v>
      </c>
      <c r="C74" s="11"/>
      <c r="D74" s="2">
        <f>-3924.84</f>
        <v>-3924.84</v>
      </c>
      <c r="E74" s="2"/>
      <c r="F74" s="19"/>
      <c r="G74" s="2"/>
      <c r="H74" s="2"/>
      <c r="I74" s="2"/>
      <c r="J74" s="19"/>
      <c r="K74" s="2"/>
      <c r="L74" s="2">
        <f t="shared" si="0"/>
        <v>-3924.84</v>
      </c>
      <c r="M74" s="2"/>
      <c r="N74" s="19">
        <f t="shared" si="1"/>
        <v>0</v>
      </c>
      <c r="O74" s="11"/>
      <c r="P74" s="2">
        <f>-35054.35</f>
        <v>-35054.35</v>
      </c>
      <c r="Q74" s="2"/>
      <c r="R74" s="19"/>
      <c r="S74" s="2"/>
      <c r="T74" s="2"/>
      <c r="U74" s="2"/>
      <c r="V74" s="19"/>
      <c r="W74" s="2"/>
      <c r="X74" s="2">
        <f t="shared" si="2"/>
        <v>-35054.35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"4241", " - ", "SALES RETURN TAXABLE-LOGO GIFT")</f>
        <v xml:space="preserve">          4241 - SALES RETURN TAXABLE-LOGO GIFT</v>
      </c>
      <c r="C75" s="11"/>
      <c r="D75" s="2">
        <f>-1222.82</f>
        <v>-1222.82</v>
      </c>
      <c r="E75" s="2"/>
      <c r="F75" s="19"/>
      <c r="G75" s="2"/>
      <c r="H75" s="2"/>
      <c r="I75" s="2"/>
      <c r="J75" s="19"/>
      <c r="K75" s="2"/>
      <c r="L75" s="2">
        <f t="shared" si="0"/>
        <v>-1222.82</v>
      </c>
      <c r="M75" s="2"/>
      <c r="N75" s="19">
        <f t="shared" si="1"/>
        <v>0</v>
      </c>
      <c r="O75" s="11"/>
      <c r="P75" s="2">
        <f>-6518.34</f>
        <v>-6518.34</v>
      </c>
      <c r="Q75" s="2"/>
      <c r="R75" s="19"/>
      <c r="S75" s="2"/>
      <c r="T75" s="2"/>
      <c r="U75" s="2"/>
      <c r="V75" s="19"/>
      <c r="W75" s="2"/>
      <c r="X75" s="2">
        <f t="shared" si="2"/>
        <v>-6518.34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"4242", " - ", "SALES RETURN TAXABLE-EVERYDAY")</f>
        <v xml:space="preserve">          4242 - SALES RETURN TAXABLE-EVERYDAY</v>
      </c>
      <c r="C76" s="11"/>
      <c r="D76" s="2">
        <f>-565.08</f>
        <v>-565.08000000000004</v>
      </c>
      <c r="E76" s="2"/>
      <c r="F76" s="19"/>
      <c r="G76" s="2"/>
      <c r="H76" s="2"/>
      <c r="I76" s="2"/>
      <c r="J76" s="19"/>
      <c r="K76" s="2"/>
      <c r="L76" s="2">
        <f t="shared" si="0"/>
        <v>-565.08000000000004</v>
      </c>
      <c r="M76" s="2"/>
      <c r="N76" s="19">
        <f t="shared" si="1"/>
        <v>0</v>
      </c>
      <c r="O76" s="11"/>
      <c r="P76" s="2">
        <f>-2303.82</f>
        <v>-2303.8200000000002</v>
      </c>
      <c r="Q76" s="2"/>
      <c r="R76" s="19"/>
      <c r="S76" s="2"/>
      <c r="T76" s="2"/>
      <c r="U76" s="2"/>
      <c r="V76" s="19"/>
      <c r="W76" s="2"/>
      <c r="X76" s="2">
        <f t="shared" si="2"/>
        <v>-2303.8200000000002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"4243", " - ", "SALES RETURN TAXABLE-CARDS")</f>
        <v xml:space="preserve">          4243 - SALES RETURN TAXABLE-CARDS</v>
      </c>
      <c r="C77" s="11"/>
      <c r="D77" s="2">
        <f>-572.63</f>
        <v>-572.63</v>
      </c>
      <c r="E77" s="2"/>
      <c r="F77" s="19"/>
      <c r="G77" s="2"/>
      <c r="H77" s="2"/>
      <c r="I77" s="2"/>
      <c r="J77" s="19"/>
      <c r="K77" s="2"/>
      <c r="L77" s="2">
        <f t="shared" si="0"/>
        <v>-572.63</v>
      </c>
      <c r="M77" s="2"/>
      <c r="N77" s="19">
        <f t="shared" si="1"/>
        <v>0</v>
      </c>
      <c r="O77" s="11"/>
      <c r="P77" s="2">
        <f>-5942.23</f>
        <v>-5942.23</v>
      </c>
      <c r="Q77" s="2"/>
      <c r="R77" s="19"/>
      <c r="S77" s="2"/>
      <c r="T77" s="2"/>
      <c r="U77" s="2"/>
      <c r="V77" s="19"/>
      <c r="W77" s="2"/>
      <c r="X77" s="2">
        <f t="shared" si="2"/>
        <v>-5942.23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"4244", " - ", "SALES RETURN TAXABLE-ACCESSORI")</f>
        <v xml:space="preserve">          4244 - SALES RETURN TAXABLE-ACCESSORI</v>
      </c>
      <c r="C78" s="11"/>
      <c r="D78" s="2">
        <f>-240.42</f>
        <v>-240.42</v>
      </c>
      <c r="E78" s="2"/>
      <c r="F78" s="19"/>
      <c r="G78" s="2"/>
      <c r="H78" s="2"/>
      <c r="I78" s="2"/>
      <c r="J78" s="19"/>
      <c r="K78" s="2"/>
      <c r="L78" s="2">
        <f t="shared" si="0"/>
        <v>-240.42</v>
      </c>
      <c r="M78" s="2"/>
      <c r="N78" s="19">
        <f t="shared" si="1"/>
        <v>0</v>
      </c>
      <c r="O78" s="11"/>
      <c r="P78" s="2">
        <f>-1235.26</f>
        <v>-1235.26</v>
      </c>
      <c r="Q78" s="2"/>
      <c r="R78" s="19"/>
      <c r="S78" s="2"/>
      <c r="T78" s="2"/>
      <c r="U78" s="2"/>
      <c r="V78" s="19"/>
      <c r="W78" s="2"/>
      <c r="X78" s="2">
        <f t="shared" si="2"/>
        <v>-1235.26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"4245", " - ", "SALES RETURN TAXABLE-SPECIAL O")</f>
        <v xml:space="preserve">          4245 - SALES RETURN TAXABLE-SPECIAL O</v>
      </c>
      <c r="C79" s="11"/>
      <c r="D79" s="2">
        <f t="shared" ref="D79:D80" si="7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-11353.59</f>
        <v>-11353.59</v>
      </c>
      <c r="Q79" s="2"/>
      <c r="R79" s="19"/>
      <c r="S79" s="2"/>
      <c r="T79" s="2"/>
      <c r="U79" s="2"/>
      <c r="V79" s="19"/>
      <c r="W79" s="2"/>
      <c r="X79" s="2">
        <f t="shared" si="2"/>
        <v>-11353.59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"4281", " - ", "SALES RETURN TAXABLE-ELECTRONI")</f>
        <v xml:space="preserve">          4281 - SALES RETURN TAXABLE-ELECTRONI</v>
      </c>
      <c r="C80" s="11"/>
      <c r="D80" s="2">
        <f t="shared" si="7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-14762.14</f>
        <v>-14762.14</v>
      </c>
      <c r="Q80" s="2"/>
      <c r="R80" s="19"/>
      <c r="S80" s="2"/>
      <c r="T80" s="2"/>
      <c r="U80" s="2"/>
      <c r="V80" s="19"/>
      <c r="W80" s="2"/>
      <c r="X80" s="2">
        <f t="shared" si="2"/>
        <v>-14762.14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"4282", " - ", "SALES RETURN TAXABLE-COMPUTER")</f>
        <v xml:space="preserve">          4282 - SALES RETURN TAXABLE-COMPUTER</v>
      </c>
      <c r="C81" s="11"/>
      <c r="D81" s="2">
        <f>-43137</f>
        <v>-43137</v>
      </c>
      <c r="E81" s="2"/>
      <c r="F81" s="19"/>
      <c r="G81" s="2"/>
      <c r="H81" s="2"/>
      <c r="I81" s="2"/>
      <c r="J81" s="19"/>
      <c r="K81" s="2"/>
      <c r="L81" s="2">
        <f t="shared" si="0"/>
        <v>-43137</v>
      </c>
      <c r="M81" s="2"/>
      <c r="N81" s="19">
        <f t="shared" si="1"/>
        <v>0</v>
      </c>
      <c r="O81" s="11"/>
      <c r="P81" s="2">
        <f>-172765.16</f>
        <v>-172765.16</v>
      </c>
      <c r="Q81" s="2"/>
      <c r="R81" s="19"/>
      <c r="S81" s="2"/>
      <c r="T81" s="2"/>
      <c r="U81" s="2"/>
      <c r="V81" s="19"/>
      <c r="W81" s="2"/>
      <c r="X81" s="2">
        <f t="shared" si="2"/>
        <v>-172765.16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"4283", " - ", "SALES RETURN TAXABLE-COMPUTER")</f>
        <v xml:space="preserve">          4283 - SALES RETURN TAXABLE-COMPUTER</v>
      </c>
      <c r="C82" s="11"/>
      <c r="D82" s="2">
        <f>-389.97</f>
        <v>-389.97</v>
      </c>
      <c r="E82" s="2"/>
      <c r="F82" s="19"/>
      <c r="G82" s="2"/>
      <c r="H82" s="2"/>
      <c r="I82" s="2"/>
      <c r="J82" s="19"/>
      <c r="K82" s="2"/>
      <c r="L82" s="2">
        <f t="shared" si="0"/>
        <v>-389.97</v>
      </c>
      <c r="M82" s="2"/>
      <c r="N82" s="19">
        <f t="shared" si="1"/>
        <v>0</v>
      </c>
      <c r="O82" s="11"/>
      <c r="P82" s="2">
        <f>-3749.25</f>
        <v>-3749.25</v>
      </c>
      <c r="Q82" s="2"/>
      <c r="R82" s="19"/>
      <c r="S82" s="2"/>
      <c r="T82" s="2"/>
      <c r="U82" s="2"/>
      <c r="V82" s="19"/>
      <c r="W82" s="2"/>
      <c r="X82" s="2">
        <f t="shared" si="2"/>
        <v>-3749.25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"4285", " - ", "SALES RETURN TAXABLE-SOFTWARE")</f>
        <v xml:space="preserve">          4285 - SALES RETURN TAXABLE-SOFTWARE</v>
      </c>
      <c r="C83" s="11"/>
      <c r="D83" s="2">
        <f>-149.99</f>
        <v>-149.99</v>
      </c>
      <c r="E83" s="2"/>
      <c r="F83" s="19"/>
      <c r="G83" s="2"/>
      <c r="H83" s="2"/>
      <c r="I83" s="2"/>
      <c r="J83" s="19"/>
      <c r="K83" s="2"/>
      <c r="L83" s="2">
        <f t="shared" si="0"/>
        <v>-149.99</v>
      </c>
      <c r="M83" s="2"/>
      <c r="N83" s="19">
        <f t="shared" si="1"/>
        <v>0</v>
      </c>
      <c r="O83" s="11"/>
      <c r="P83" s="2">
        <f>-991.96</f>
        <v>-991.96</v>
      </c>
      <c r="Q83" s="2"/>
      <c r="R83" s="19"/>
      <c r="S83" s="2"/>
      <c r="T83" s="2"/>
      <c r="U83" s="2"/>
      <c r="V83" s="19"/>
      <c r="W83" s="2"/>
      <c r="X83" s="2">
        <f t="shared" si="2"/>
        <v>-991.96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"4286", " - ", "SALES RETURN TAXABLE-COMPUTER")</f>
        <v xml:space="preserve">          4286 - SALES RETURN TAXABLE-COMPUTER</v>
      </c>
      <c r="C84" s="11"/>
      <c r="D84" s="2">
        <f>-39.98</f>
        <v>-39.979999999999997</v>
      </c>
      <c r="E84" s="2"/>
      <c r="F84" s="19"/>
      <c r="G84" s="2"/>
      <c r="H84" s="2"/>
      <c r="I84" s="2"/>
      <c r="J84" s="19"/>
      <c r="K84" s="2"/>
      <c r="L84" s="2">
        <f t="shared" si="0"/>
        <v>-39.979999999999997</v>
      </c>
      <c r="M84" s="2"/>
      <c r="N84" s="19">
        <f t="shared" si="1"/>
        <v>0</v>
      </c>
      <c r="O84" s="11"/>
      <c r="P84" s="2">
        <f>-4802.29</f>
        <v>-4802.29</v>
      </c>
      <c r="Q84" s="2"/>
      <c r="R84" s="19"/>
      <c r="S84" s="2"/>
      <c r="T84" s="2"/>
      <c r="U84" s="2"/>
      <c r="V84" s="19"/>
      <c r="W84" s="2"/>
      <c r="X84" s="2">
        <f t="shared" si="2"/>
        <v>-4802.29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"4301", " - ", "SALES RETURN NON TAXABLE-NEW T")</f>
        <v xml:space="preserve">          4301 - SALES RETURN NON TAXABLE-NEW T</v>
      </c>
      <c r="C85" s="11"/>
      <c r="D85" s="2">
        <f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-3237.29</f>
        <v>-3237.29</v>
      </c>
      <c r="Q85" s="2"/>
      <c r="R85" s="19"/>
      <c r="S85" s="2"/>
      <c r="T85" s="2"/>
      <c r="U85" s="2"/>
      <c r="V85" s="19"/>
      <c r="W85" s="2"/>
      <c r="X85" s="2">
        <f t="shared" si="2"/>
        <v>-3237.29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"4302", " - ", "SALES RETURN NON TAXABLE-TEXT")</f>
        <v xml:space="preserve">          4302 - SALES RETURN NON TAXABLE-TEXT</v>
      </c>
      <c r="C86" s="11"/>
      <c r="D86" s="2">
        <f>-270.87</f>
        <v>-270.87</v>
      </c>
      <c r="E86" s="2"/>
      <c r="F86" s="19"/>
      <c r="G86" s="2"/>
      <c r="H86" s="2"/>
      <c r="I86" s="2"/>
      <c r="J86" s="19"/>
      <c r="K86" s="2"/>
      <c r="L86" s="2">
        <f t="shared" si="0"/>
        <v>-270.87</v>
      </c>
      <c r="M86" s="2"/>
      <c r="N86" s="19">
        <f t="shared" si="1"/>
        <v>0</v>
      </c>
      <c r="O86" s="11"/>
      <c r="P86" s="2">
        <f>-2344.35</f>
        <v>-2344.35</v>
      </c>
      <c r="Q86" s="2"/>
      <c r="R86" s="19"/>
      <c r="S86" s="2"/>
      <c r="T86" s="2"/>
      <c r="U86" s="2"/>
      <c r="V86" s="19"/>
      <c r="W86" s="2"/>
      <c r="X86" s="2">
        <f t="shared" si="2"/>
        <v>-2344.35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"4304", " - ", "SALES RETURN NON TAXABLE-DIGIT")</f>
        <v xml:space="preserve">          4304 - SALES RETURN NON TAXABLE-DIGIT</v>
      </c>
      <c r="C87" s="11"/>
      <c r="D87" s="2">
        <f>-275.04</f>
        <v>-275.04000000000002</v>
      </c>
      <c r="E87" s="2"/>
      <c r="F87" s="19"/>
      <c r="G87" s="2"/>
      <c r="H87" s="2"/>
      <c r="I87" s="2"/>
      <c r="J87" s="19"/>
      <c r="K87" s="2"/>
      <c r="L87" s="2">
        <f t="shared" si="0"/>
        <v>-275.04000000000002</v>
      </c>
      <c r="M87" s="2"/>
      <c r="N87" s="19">
        <f t="shared" si="1"/>
        <v>0</v>
      </c>
      <c r="O87" s="11"/>
      <c r="P87" s="2">
        <f>-27543.76</f>
        <v>-27543.759999999998</v>
      </c>
      <c r="Q87" s="2"/>
      <c r="R87" s="19"/>
      <c r="S87" s="2"/>
      <c r="T87" s="2"/>
      <c r="U87" s="2"/>
      <c r="V87" s="19"/>
      <c r="W87" s="2"/>
      <c r="X87" s="2">
        <f t="shared" si="2"/>
        <v>-27543.759999999998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"4340", " - ", "SALES RETURN NON TAXABLE-LOGO")</f>
        <v xml:space="preserve">          4340 - SALES RETURN NON TAXABLE-LOGO</v>
      </c>
      <c r="C88" s="11"/>
      <c r="D88" s="2">
        <f>-350.55</f>
        <v>-350.55</v>
      </c>
      <c r="E88" s="2"/>
      <c r="F88" s="19"/>
      <c r="G88" s="2"/>
      <c r="H88" s="2"/>
      <c r="I88" s="2"/>
      <c r="J88" s="19"/>
      <c r="K88" s="2"/>
      <c r="L88" s="2">
        <f t="shared" si="0"/>
        <v>-350.55</v>
      </c>
      <c r="M88" s="2"/>
      <c r="N88" s="19">
        <f t="shared" si="1"/>
        <v>0</v>
      </c>
      <c r="O88" s="11"/>
      <c r="P88" s="2">
        <f>-2643.39</f>
        <v>-2643.39</v>
      </c>
      <c r="Q88" s="2"/>
      <c r="R88" s="19"/>
      <c r="S88" s="2"/>
      <c r="T88" s="2"/>
      <c r="U88" s="2"/>
      <c r="V88" s="19"/>
      <c r="W88" s="2"/>
      <c r="X88" s="2">
        <f t="shared" si="2"/>
        <v>-2643.39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"4341", " - ", "SALES RETURN NON TAXABLE-LOGO")</f>
        <v xml:space="preserve">          4341 - SALES RETURN NON TAXABLE-LOGO</v>
      </c>
      <c r="C89" s="11"/>
      <c r="D89" s="2">
        <f>-29.9</f>
        <v>-29.9</v>
      </c>
      <c r="E89" s="2"/>
      <c r="F89" s="19"/>
      <c r="G89" s="2"/>
      <c r="H89" s="2"/>
      <c r="I89" s="2"/>
      <c r="J89" s="19"/>
      <c r="K89" s="2"/>
      <c r="L89" s="2">
        <f t="shared" si="0"/>
        <v>-29.9</v>
      </c>
      <c r="M89" s="2"/>
      <c r="N89" s="19">
        <f t="shared" si="1"/>
        <v>0</v>
      </c>
      <c r="O89" s="11"/>
      <c r="P89" s="2">
        <f>-392.54</f>
        <v>-392.54</v>
      </c>
      <c r="Q89" s="2"/>
      <c r="R89" s="19"/>
      <c r="S89" s="2"/>
      <c r="T89" s="2"/>
      <c r="U89" s="2"/>
      <c r="V89" s="19"/>
      <c r="W89" s="2"/>
      <c r="X89" s="2">
        <f t="shared" si="2"/>
        <v>-392.54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"4342", " - ", "SALES RETURN NON TAXABLE-EVERY")</f>
        <v xml:space="preserve">          4342 - SALES RETURN NON TAXABLE-EVERY</v>
      </c>
      <c r="C90" s="11"/>
      <c r="D90" s="2">
        <f t="shared" ref="D90:D91" si="8"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-118.7</f>
        <v>-118.7</v>
      </c>
      <c r="Q90" s="2"/>
      <c r="R90" s="19"/>
      <c r="S90" s="2"/>
      <c r="T90" s="2"/>
      <c r="U90" s="2"/>
      <c r="V90" s="19"/>
      <c r="W90" s="2"/>
      <c r="X90" s="2">
        <f t="shared" si="2"/>
        <v>-118.7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"4381", " - ", "SALES RETURN NON TAXABLE-ELECT")</f>
        <v xml:space="preserve">          4381 - SALES RETURN NON TAXABLE-ELECT</v>
      </c>
      <c r="C91" s="11"/>
      <c r="D91" s="2">
        <f t="shared" si="8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-5624.15</f>
        <v>-5624.15</v>
      </c>
      <c r="Q91" s="2"/>
      <c r="R91" s="19"/>
      <c r="S91" s="2"/>
      <c r="T91" s="2"/>
      <c r="U91" s="2"/>
      <c r="V91" s="19"/>
      <c r="W91" s="2"/>
      <c r="X91" s="2">
        <f t="shared" si="2"/>
        <v>-5624.15</v>
      </c>
      <c r="Y91" s="2"/>
      <c r="Z91" s="19">
        <f t="shared" si="3"/>
        <v>0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collapsed="1" x14ac:dyDescent="0.25">
      <c r="A93" s="10"/>
      <c r="B93" s="28" t="s">
        <v>257</v>
      </c>
      <c r="C93" s="10"/>
      <c r="D93" s="4">
        <f>SUM(OSRRefD16x_0)</f>
        <v>454474.85000000003</v>
      </c>
      <c r="E93" s="4"/>
      <c r="F93" s="12">
        <f t="shared" ref="F93:F141" si="9">IF(D$12=0,0,D93/D$12)</f>
        <v>0.74141880958484252</v>
      </c>
      <c r="G93" s="4"/>
      <c r="H93" s="4">
        <f>SUM(OSRRefH16x_0)</f>
        <v>264458</v>
      </c>
      <c r="I93" s="4"/>
      <c r="J93" s="12">
        <f t="shared" ref="J93:J141" si="10">IF(H$12=0,0,H93/H$12)</f>
        <v>0.51346980143328391</v>
      </c>
      <c r="K93" s="4"/>
      <c r="L93" s="4">
        <f t="shared" ref="L93:L141" si="11">+D93-H93</f>
        <v>190016.85000000003</v>
      </c>
      <c r="M93" s="4"/>
      <c r="N93" s="12">
        <f t="shared" ref="N93:N141" si="12">IF(H93=0,0,L93/H93)</f>
        <v>0.71851428204100476</v>
      </c>
      <c r="O93" s="10"/>
      <c r="P93" s="4">
        <f>SUM(OSRRefP16x_0)</f>
        <v>4585497.6000000006</v>
      </c>
      <c r="Q93" s="4"/>
      <c r="R93" s="12">
        <f t="shared" ref="R93:R141" si="13">IF(P$12=0,0,P93/P$12)</f>
        <v>0.72974138621720808</v>
      </c>
      <c r="S93" s="4"/>
      <c r="T93" s="4">
        <f>SUM(OSRRefT16x_0)</f>
        <v>6013501</v>
      </c>
      <c r="U93" s="4"/>
      <c r="V93" s="12">
        <f t="shared" ref="V93:V141" si="14">IF(T$12=0,0,T93/T$12)</f>
        <v>0.62945863844565453</v>
      </c>
      <c r="W93" s="4"/>
      <c r="X93" s="4">
        <f t="shared" ref="X93:X141" si="15">+P93-T93</f>
        <v>-1428003.3999999994</v>
      </c>
      <c r="Y93" s="4"/>
      <c r="Z93" s="12">
        <f t="shared" ref="Z93:Z141" si="16">IF(T93=0,0,X93/T93)</f>
        <v>-0.23746622807579137</v>
      </c>
    </row>
    <row r="94" spans="1:26" s="24" customFormat="1" hidden="1" outlineLevel="1" x14ac:dyDescent="0.25">
      <c r="A94" s="44"/>
      <c r="B94" s="11" t="str">
        <f>CONCATENATE("          ", "5000", " - ", "PURCHASES @ COST")</f>
        <v xml:space="preserve">          5000 - PURCHASES @ COST</v>
      </c>
      <c r="C94" s="11"/>
      <c r="D94" s="2">
        <v>0</v>
      </c>
      <c r="E94" s="2"/>
      <c r="F94" s="19">
        <f t="shared" si="9"/>
        <v>0</v>
      </c>
      <c r="G94" s="2"/>
      <c r="H94" s="2">
        <v>264458</v>
      </c>
      <c r="I94" s="2"/>
      <c r="J94" s="19">
        <f t="shared" si="10"/>
        <v>0.51346980143328391</v>
      </c>
      <c r="K94" s="2"/>
      <c r="L94" s="2">
        <f t="shared" si="11"/>
        <v>-264458</v>
      </c>
      <c r="M94" s="2"/>
      <c r="N94" s="19">
        <f t="shared" si="12"/>
        <v>-1</v>
      </c>
      <c r="O94" s="11"/>
      <c r="P94" s="2">
        <v>0</v>
      </c>
      <c r="Q94" s="2"/>
      <c r="R94" s="19">
        <f t="shared" si="13"/>
        <v>0</v>
      </c>
      <c r="S94" s="2"/>
      <c r="T94" s="2">
        <v>6013501</v>
      </c>
      <c r="U94" s="2"/>
      <c r="V94" s="19">
        <f t="shared" si="14"/>
        <v>0.62945863844565453</v>
      </c>
      <c r="W94" s="2"/>
      <c r="X94" s="2">
        <f t="shared" si="15"/>
        <v>-6013501</v>
      </c>
      <c r="Y94" s="2"/>
      <c r="Z94" s="19">
        <f t="shared" si="16"/>
        <v>-1</v>
      </c>
    </row>
    <row r="95" spans="1:26" s="24" customFormat="1" hidden="1" outlineLevel="1" x14ac:dyDescent="0.25">
      <c r="A95" s="44"/>
      <c r="B95" s="11" t="str">
        <f>CONCATENATE("          ", "5001", " - ", "PURCHASES @ COST-NEW TEXT")</f>
        <v xml:space="preserve">          5001 - PURCHASES @ COST-NEW TEXT</v>
      </c>
      <c r="C95" s="11"/>
      <c r="D95" s="2">
        <v>-290899.24</v>
      </c>
      <c r="E95" s="2"/>
      <c r="F95" s="19">
        <f t="shared" si="9"/>
        <v>-0.47456568439361468</v>
      </c>
      <c r="G95" s="2"/>
      <c r="H95" s="2"/>
      <c r="I95" s="2"/>
      <c r="J95" s="19">
        <f t="shared" si="10"/>
        <v>0</v>
      </c>
      <c r="K95" s="2"/>
      <c r="L95" s="2">
        <f t="shared" si="11"/>
        <v>-290899.24</v>
      </c>
      <c r="M95" s="2"/>
      <c r="N95" s="19">
        <f t="shared" si="12"/>
        <v>0</v>
      </c>
      <c r="O95" s="11"/>
      <c r="P95" s="2">
        <v>1035516.4</v>
      </c>
      <c r="Q95" s="2"/>
      <c r="R95" s="19">
        <f t="shared" si="13"/>
        <v>0.16479327634729388</v>
      </c>
      <c r="S95" s="2"/>
      <c r="T95" s="2"/>
      <c r="U95" s="2"/>
      <c r="V95" s="19">
        <f t="shared" si="14"/>
        <v>0</v>
      </c>
      <c r="W95" s="2"/>
      <c r="X95" s="2">
        <f t="shared" si="15"/>
        <v>1035516.4</v>
      </c>
      <c r="Y95" s="2"/>
      <c r="Z95" s="19">
        <f t="shared" si="16"/>
        <v>0</v>
      </c>
    </row>
    <row r="96" spans="1:26" s="24" customFormat="1" hidden="1" outlineLevel="1" x14ac:dyDescent="0.25">
      <c r="A96" s="44"/>
      <c r="B96" s="11" t="str">
        <f>CONCATENATE("          ", "5002", " - ", "PURCHASES @ COST-USED TEXT")</f>
        <v xml:space="preserve">          5002 - PURCHASES @ COST-USED TEXT</v>
      </c>
      <c r="C96" s="11"/>
      <c r="D96" s="2">
        <v>14728.45</v>
      </c>
      <c r="E96" s="2"/>
      <c r="F96" s="19">
        <f t="shared" si="9"/>
        <v>2.40276219157779E-2</v>
      </c>
      <c r="G96" s="2"/>
      <c r="H96" s="2"/>
      <c r="I96" s="2"/>
      <c r="J96" s="19">
        <f t="shared" si="10"/>
        <v>0</v>
      </c>
      <c r="K96" s="2"/>
      <c r="L96" s="2">
        <f t="shared" si="11"/>
        <v>14728.45</v>
      </c>
      <c r="M96" s="2"/>
      <c r="N96" s="19">
        <f t="shared" si="12"/>
        <v>0</v>
      </c>
      <c r="O96" s="11"/>
      <c r="P96" s="2">
        <v>397052.67</v>
      </c>
      <c r="Q96" s="2"/>
      <c r="R96" s="19">
        <f t="shared" si="13"/>
        <v>6.3187420664453861E-2</v>
      </c>
      <c r="S96" s="2"/>
      <c r="T96" s="2"/>
      <c r="U96" s="2"/>
      <c r="V96" s="19">
        <f t="shared" si="14"/>
        <v>0</v>
      </c>
      <c r="W96" s="2"/>
      <c r="X96" s="2">
        <f t="shared" si="15"/>
        <v>397052.67</v>
      </c>
      <c r="Y96" s="2"/>
      <c r="Z96" s="19">
        <f t="shared" si="16"/>
        <v>0</v>
      </c>
    </row>
    <row r="97" spans="1:26" s="24" customFormat="1" hidden="1" outlineLevel="1" x14ac:dyDescent="0.25">
      <c r="A97" s="44"/>
      <c r="B97" s="11" t="str">
        <f>CONCATENATE("          ", "5003", " - ", "PURCHASES @ COST-RENTAL TEXT")</f>
        <v xml:space="preserve">          5003 - PURCHASES @ COST-RENTAL TEXT</v>
      </c>
      <c r="C97" s="11"/>
      <c r="D97" s="2"/>
      <c r="E97" s="2"/>
      <c r="F97" s="19">
        <f t="shared" si="9"/>
        <v>0</v>
      </c>
      <c r="G97" s="2"/>
      <c r="H97" s="2"/>
      <c r="I97" s="2"/>
      <c r="J97" s="19">
        <f t="shared" si="10"/>
        <v>0</v>
      </c>
      <c r="K97" s="2"/>
      <c r="L97" s="2">
        <f t="shared" si="11"/>
        <v>0</v>
      </c>
      <c r="M97" s="2"/>
      <c r="N97" s="19">
        <f t="shared" si="12"/>
        <v>0</v>
      </c>
      <c r="O97" s="11"/>
      <c r="P97" s="2">
        <v>32.520000000000003</v>
      </c>
      <c r="Q97" s="2"/>
      <c r="R97" s="19">
        <f t="shared" si="13"/>
        <v>5.1752703740993355E-6</v>
      </c>
      <c r="S97" s="2"/>
      <c r="T97" s="2"/>
      <c r="U97" s="2"/>
      <c r="V97" s="19">
        <f t="shared" si="14"/>
        <v>0</v>
      </c>
      <c r="W97" s="2"/>
      <c r="X97" s="2">
        <f t="shared" si="15"/>
        <v>32.520000000000003</v>
      </c>
      <c r="Y97" s="2"/>
      <c r="Z97" s="19">
        <f t="shared" si="16"/>
        <v>0</v>
      </c>
    </row>
    <row r="98" spans="1:26" s="24" customFormat="1" hidden="1" outlineLevel="1" x14ac:dyDescent="0.25">
      <c r="A98" s="44"/>
      <c r="B98" s="11" t="str">
        <f>CONCATENATE("          ", "5004", " - ", "PURCHASES @ COST-DIGITAL TEXT")</f>
        <v xml:space="preserve">          5004 - PURCHASES @ COST-DIGITAL TEXT</v>
      </c>
      <c r="C98" s="11"/>
      <c r="D98" s="2">
        <v>-13446.08</v>
      </c>
      <c r="E98" s="2"/>
      <c r="F98" s="19">
        <f t="shared" si="9"/>
        <v>-2.1935595835902818E-2</v>
      </c>
      <c r="G98" s="2"/>
      <c r="H98" s="2"/>
      <c r="I98" s="2"/>
      <c r="J98" s="19">
        <f t="shared" si="10"/>
        <v>0</v>
      </c>
      <c r="K98" s="2"/>
      <c r="L98" s="2">
        <f t="shared" si="11"/>
        <v>-13446.08</v>
      </c>
      <c r="M98" s="2"/>
      <c r="N98" s="19">
        <f t="shared" si="12"/>
        <v>0</v>
      </c>
      <c r="O98" s="11"/>
      <c r="P98" s="2">
        <v>206562.5</v>
      </c>
      <c r="Q98" s="2"/>
      <c r="R98" s="19">
        <f t="shared" si="13"/>
        <v>3.2872594915433394E-2</v>
      </c>
      <c r="S98" s="2"/>
      <c r="T98" s="2"/>
      <c r="U98" s="2"/>
      <c r="V98" s="19">
        <f t="shared" si="14"/>
        <v>0</v>
      </c>
      <c r="W98" s="2"/>
      <c r="X98" s="2">
        <f t="shared" si="15"/>
        <v>206562.5</v>
      </c>
      <c r="Y98" s="2"/>
      <c r="Z98" s="19">
        <f t="shared" si="16"/>
        <v>0</v>
      </c>
    </row>
    <row r="99" spans="1:26" s="24" customFormat="1" hidden="1" outlineLevel="1" x14ac:dyDescent="0.25">
      <c r="A99" s="44"/>
      <c r="B99" s="11" t="str">
        <f>CONCATENATE("          ", "5011", " - ", "PURCHASES @ COST-NO VALUE TEXT")</f>
        <v xml:space="preserve">          5011 - PURCHASES @ COST-NO VALUE TEXT</v>
      </c>
      <c r="C99" s="11"/>
      <c r="D99" s="2"/>
      <c r="E99" s="2"/>
      <c r="F99" s="19">
        <f t="shared" si="9"/>
        <v>0</v>
      </c>
      <c r="G99" s="2"/>
      <c r="H99" s="2"/>
      <c r="I99" s="2"/>
      <c r="J99" s="19">
        <f t="shared" si="10"/>
        <v>0</v>
      </c>
      <c r="K99" s="2"/>
      <c r="L99" s="2">
        <f t="shared" si="11"/>
        <v>0</v>
      </c>
      <c r="M99" s="2"/>
      <c r="N99" s="19">
        <f t="shared" si="12"/>
        <v>0</v>
      </c>
      <c r="O99" s="11"/>
      <c r="P99" s="2">
        <v>67.17</v>
      </c>
      <c r="Q99" s="2"/>
      <c r="R99" s="19">
        <f t="shared" si="13"/>
        <v>1.0689511409232852E-5</v>
      </c>
      <c r="S99" s="2"/>
      <c r="T99" s="2"/>
      <c r="U99" s="2"/>
      <c r="V99" s="19">
        <f t="shared" si="14"/>
        <v>0</v>
      </c>
      <c r="W99" s="2"/>
      <c r="X99" s="2">
        <f t="shared" si="15"/>
        <v>67.17</v>
      </c>
      <c r="Y99" s="2"/>
      <c r="Z99" s="19">
        <f t="shared" si="16"/>
        <v>0</v>
      </c>
    </row>
    <row r="100" spans="1:26" s="24" customFormat="1" hidden="1" outlineLevel="1" x14ac:dyDescent="0.25">
      <c r="A100" s="44"/>
      <c r="B100" s="11" t="str">
        <f>CONCATENATE("          ", "5013", " - ", "PURCHASES @ COST-TRADE BOOKS")</f>
        <v xml:space="preserve">          5013 - PURCHASES @ COST-TRADE BOOKS</v>
      </c>
      <c r="C100" s="11"/>
      <c r="D100" s="2">
        <v>2907.93</v>
      </c>
      <c r="E100" s="2"/>
      <c r="F100" s="19">
        <f t="shared" si="9"/>
        <v>4.7439236713671855E-3</v>
      </c>
      <c r="G100" s="2"/>
      <c r="H100" s="2"/>
      <c r="I100" s="2"/>
      <c r="J100" s="19">
        <f t="shared" si="10"/>
        <v>0</v>
      </c>
      <c r="K100" s="2"/>
      <c r="L100" s="2">
        <f t="shared" si="11"/>
        <v>2907.93</v>
      </c>
      <c r="M100" s="2"/>
      <c r="N100" s="19">
        <f t="shared" si="12"/>
        <v>0</v>
      </c>
      <c r="O100" s="11"/>
      <c r="P100" s="2">
        <v>8870.02</v>
      </c>
      <c r="Q100" s="2"/>
      <c r="R100" s="19">
        <f t="shared" si="13"/>
        <v>1.4115852313551225E-3</v>
      </c>
      <c r="S100" s="2"/>
      <c r="T100" s="2"/>
      <c r="U100" s="2"/>
      <c r="V100" s="19">
        <f t="shared" si="14"/>
        <v>0</v>
      </c>
      <c r="W100" s="2"/>
      <c r="X100" s="2">
        <f t="shared" si="15"/>
        <v>8870.02</v>
      </c>
      <c r="Y100" s="2"/>
      <c r="Z100" s="19">
        <f t="shared" si="16"/>
        <v>0</v>
      </c>
    </row>
    <row r="101" spans="1:26" s="24" customFormat="1" hidden="1" outlineLevel="1" x14ac:dyDescent="0.25">
      <c r="A101" s="44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19">
        <f t="shared" si="9"/>
        <v>0</v>
      </c>
      <c r="G101" s="2"/>
      <c r="H101" s="2"/>
      <c r="I101" s="2"/>
      <c r="J101" s="19">
        <f t="shared" si="10"/>
        <v>0</v>
      </c>
      <c r="K101" s="2"/>
      <c r="L101" s="2">
        <f t="shared" si="11"/>
        <v>0</v>
      </c>
      <c r="M101" s="2"/>
      <c r="N101" s="19">
        <f t="shared" si="12"/>
        <v>0</v>
      </c>
      <c r="O101" s="11"/>
      <c r="P101" s="2">
        <v>111.57</v>
      </c>
      <c r="Q101" s="2"/>
      <c r="R101" s="19">
        <f t="shared" si="13"/>
        <v>1.7755378709663677E-5</v>
      </c>
      <c r="S101" s="2"/>
      <c r="T101" s="2"/>
      <c r="U101" s="2"/>
      <c r="V101" s="19">
        <f t="shared" si="14"/>
        <v>0</v>
      </c>
      <c r="W101" s="2"/>
      <c r="X101" s="2">
        <f t="shared" si="15"/>
        <v>111.57</v>
      </c>
      <c r="Y101" s="2"/>
      <c r="Z101" s="19">
        <f t="shared" si="16"/>
        <v>0</v>
      </c>
    </row>
    <row r="102" spans="1:26" s="24" customFormat="1" hidden="1" outlineLevel="1" x14ac:dyDescent="0.25">
      <c r="A102" s="44"/>
      <c r="B102" s="11" t="str">
        <f>CONCATENATE("          ", "5018", " - ", "PURCHASES @ COST-STUDY GUIDES")</f>
        <v xml:space="preserve">          5018 - PURCHASES @ COST-STUDY GUIDES</v>
      </c>
      <c r="C102" s="11"/>
      <c r="D102" s="2">
        <v>444.87</v>
      </c>
      <c r="E102" s="2"/>
      <c r="F102" s="19">
        <f t="shared" si="9"/>
        <v>7.2574969950484362E-4</v>
      </c>
      <c r="G102" s="2"/>
      <c r="H102" s="2"/>
      <c r="I102" s="2"/>
      <c r="J102" s="19">
        <f t="shared" si="10"/>
        <v>0</v>
      </c>
      <c r="K102" s="2"/>
      <c r="L102" s="2">
        <f t="shared" si="11"/>
        <v>444.87</v>
      </c>
      <c r="M102" s="2"/>
      <c r="N102" s="19">
        <f t="shared" si="12"/>
        <v>0</v>
      </c>
      <c r="O102" s="11"/>
      <c r="P102" s="2">
        <v>967.21</v>
      </c>
      <c r="Q102" s="2"/>
      <c r="R102" s="19">
        <f t="shared" si="13"/>
        <v>1.5392291692904731E-4</v>
      </c>
      <c r="S102" s="2"/>
      <c r="T102" s="2"/>
      <c r="U102" s="2"/>
      <c r="V102" s="19">
        <f t="shared" si="14"/>
        <v>0</v>
      </c>
      <c r="W102" s="2"/>
      <c r="X102" s="2">
        <f t="shared" si="15"/>
        <v>967.21</v>
      </c>
      <c r="Y102" s="2"/>
      <c r="Z102" s="19">
        <f t="shared" si="16"/>
        <v>0</v>
      </c>
    </row>
    <row r="103" spans="1:26" s="24" customFormat="1" hidden="1" outlineLevel="1" x14ac:dyDescent="0.25">
      <c r="A103" s="44"/>
      <c r="B103" s="11" t="str">
        <f>CONCATENATE("          ", "5025", " - ", "PURCHASES @ COST-TEST FORMS")</f>
        <v xml:space="preserve">          5025 - PURCHASES @ COST-TEST FORMS</v>
      </c>
      <c r="C103" s="11"/>
      <c r="D103" s="2"/>
      <c r="E103" s="2"/>
      <c r="F103" s="19">
        <f t="shared" si="9"/>
        <v>0</v>
      </c>
      <c r="G103" s="2"/>
      <c r="H103" s="2"/>
      <c r="I103" s="2"/>
      <c r="J103" s="19">
        <f t="shared" si="10"/>
        <v>0</v>
      </c>
      <c r="K103" s="2"/>
      <c r="L103" s="2">
        <f t="shared" si="11"/>
        <v>0</v>
      </c>
      <c r="M103" s="2"/>
      <c r="N103" s="19">
        <f t="shared" si="12"/>
        <v>0</v>
      </c>
      <c r="O103" s="11"/>
      <c r="P103" s="2">
        <v>599.29</v>
      </c>
      <c r="Q103" s="2"/>
      <c r="R103" s="19">
        <f t="shared" si="13"/>
        <v>9.537170302872049E-5</v>
      </c>
      <c r="S103" s="2"/>
      <c r="T103" s="2"/>
      <c r="U103" s="2"/>
      <c r="V103" s="19">
        <f t="shared" si="14"/>
        <v>0</v>
      </c>
      <c r="W103" s="2"/>
      <c r="X103" s="2">
        <f t="shared" si="15"/>
        <v>599.29</v>
      </c>
      <c r="Y103" s="2"/>
      <c r="Z103" s="19">
        <f t="shared" si="16"/>
        <v>0</v>
      </c>
    </row>
    <row r="104" spans="1:26" s="24" customFormat="1" hidden="1" outlineLevel="1" x14ac:dyDescent="0.25">
      <c r="A104" s="44"/>
      <c r="B104" s="11" t="str">
        <f>CONCATENATE("          ", "5026", " - ", "PURCHASES @ COST-WRITING INSTR")</f>
        <v xml:space="preserve">          5026 - PURCHASES @ COST-WRITING INSTR</v>
      </c>
      <c r="C104" s="11"/>
      <c r="D104" s="2">
        <v>209.64</v>
      </c>
      <c r="E104" s="2"/>
      <c r="F104" s="19">
        <f t="shared" si="9"/>
        <v>3.4200140940992966E-4</v>
      </c>
      <c r="G104" s="2"/>
      <c r="H104" s="2"/>
      <c r="I104" s="2"/>
      <c r="J104" s="19">
        <f t="shared" si="10"/>
        <v>0</v>
      </c>
      <c r="K104" s="2"/>
      <c r="L104" s="2">
        <f t="shared" si="11"/>
        <v>209.64</v>
      </c>
      <c r="M104" s="2"/>
      <c r="N104" s="19">
        <f t="shared" si="12"/>
        <v>0</v>
      </c>
      <c r="O104" s="11"/>
      <c r="P104" s="2">
        <v>584.54999999999995</v>
      </c>
      <c r="Q104" s="2"/>
      <c r="R104" s="19">
        <f t="shared" si="13"/>
        <v>9.302596239790178E-5</v>
      </c>
      <c r="S104" s="2"/>
      <c r="T104" s="2"/>
      <c r="U104" s="2"/>
      <c r="V104" s="19">
        <f t="shared" si="14"/>
        <v>0</v>
      </c>
      <c r="W104" s="2"/>
      <c r="X104" s="2">
        <f t="shared" si="15"/>
        <v>584.54999999999995</v>
      </c>
      <c r="Y104" s="2"/>
      <c r="Z104" s="19">
        <f t="shared" si="16"/>
        <v>0</v>
      </c>
    </row>
    <row r="105" spans="1:26" s="24" customFormat="1" hidden="1" outlineLevel="1" x14ac:dyDescent="0.25">
      <c r="A105" s="44"/>
      <c r="B105" s="11" t="str">
        <f>CONCATENATE("          ", "5027", " - ", "PURCHASES @ COST-SCHOOL SUPPLI")</f>
        <v xml:space="preserve">          5027 - PURCHASES @ COST-SCHOOL SUPPLI</v>
      </c>
      <c r="C105" s="11"/>
      <c r="D105" s="2">
        <v>2824.53</v>
      </c>
      <c r="E105" s="2"/>
      <c r="F105" s="19">
        <f t="shared" si="9"/>
        <v>4.607867014504048E-3</v>
      </c>
      <c r="G105" s="2"/>
      <c r="H105" s="2"/>
      <c r="I105" s="2"/>
      <c r="J105" s="19">
        <f t="shared" si="10"/>
        <v>0</v>
      </c>
      <c r="K105" s="2"/>
      <c r="L105" s="2">
        <f t="shared" si="11"/>
        <v>2824.53</v>
      </c>
      <c r="M105" s="2"/>
      <c r="N105" s="19">
        <f t="shared" si="12"/>
        <v>0</v>
      </c>
      <c r="O105" s="11"/>
      <c r="P105" s="2">
        <v>21895.88</v>
      </c>
      <c r="Q105" s="2"/>
      <c r="R105" s="19">
        <f t="shared" si="13"/>
        <v>3.4845356420305706E-3</v>
      </c>
      <c r="S105" s="2"/>
      <c r="T105" s="2"/>
      <c r="U105" s="2"/>
      <c r="V105" s="19">
        <f t="shared" si="14"/>
        <v>0</v>
      </c>
      <c r="W105" s="2"/>
      <c r="X105" s="2">
        <f t="shared" si="15"/>
        <v>21895.88</v>
      </c>
      <c r="Y105" s="2"/>
      <c r="Z105" s="19">
        <f t="shared" si="16"/>
        <v>0</v>
      </c>
    </row>
    <row r="106" spans="1:26" s="24" customFormat="1" hidden="1" outlineLevel="1" x14ac:dyDescent="0.25">
      <c r="A106" s="44"/>
      <c r="B106" s="11" t="str">
        <f>CONCATENATE("          ", "5028", " - ", "PURCHASES @ COST-ART/TECH")</f>
        <v xml:space="preserve">          5028 - PURCHASES @ COST-ART/TECH</v>
      </c>
      <c r="C106" s="11"/>
      <c r="D106" s="2">
        <v>3443.78</v>
      </c>
      <c r="E106" s="2"/>
      <c r="F106" s="19">
        <f t="shared" si="9"/>
        <v>5.6180958485867565E-3</v>
      </c>
      <c r="G106" s="2"/>
      <c r="H106" s="2"/>
      <c r="I106" s="2"/>
      <c r="J106" s="19">
        <f t="shared" si="10"/>
        <v>0</v>
      </c>
      <c r="K106" s="2"/>
      <c r="L106" s="2">
        <f t="shared" si="11"/>
        <v>3443.78</v>
      </c>
      <c r="M106" s="2"/>
      <c r="N106" s="19">
        <f t="shared" si="12"/>
        <v>0</v>
      </c>
      <c r="O106" s="11"/>
      <c r="P106" s="2">
        <v>45635.360000000001</v>
      </c>
      <c r="Q106" s="2"/>
      <c r="R106" s="19">
        <f t="shared" si="13"/>
        <v>7.262463918184435E-3</v>
      </c>
      <c r="S106" s="2"/>
      <c r="T106" s="2"/>
      <c r="U106" s="2"/>
      <c r="V106" s="19">
        <f t="shared" si="14"/>
        <v>0</v>
      </c>
      <c r="W106" s="2"/>
      <c r="X106" s="2">
        <f t="shared" si="15"/>
        <v>45635.360000000001</v>
      </c>
      <c r="Y106" s="2"/>
      <c r="Z106" s="19">
        <f t="shared" si="16"/>
        <v>0</v>
      </c>
    </row>
    <row r="107" spans="1:26" s="24" customFormat="1" hidden="1" outlineLevel="1" x14ac:dyDescent="0.25">
      <c r="A107" s="44"/>
      <c r="B107" s="11" t="str">
        <f>CONCATENATE("          ", "5031", " - ", "PURCHASES @ COST-FOOD")</f>
        <v xml:space="preserve">          5031 - PURCHASES @ COST-FOOD</v>
      </c>
      <c r="C107" s="11"/>
      <c r="D107" s="2"/>
      <c r="E107" s="2"/>
      <c r="F107" s="19">
        <f t="shared" si="9"/>
        <v>0</v>
      </c>
      <c r="G107" s="2"/>
      <c r="H107" s="2"/>
      <c r="I107" s="2"/>
      <c r="J107" s="19">
        <f t="shared" si="10"/>
        <v>0</v>
      </c>
      <c r="K107" s="2"/>
      <c r="L107" s="2">
        <f t="shared" si="11"/>
        <v>0</v>
      </c>
      <c r="M107" s="2"/>
      <c r="N107" s="19">
        <f t="shared" si="12"/>
        <v>0</v>
      </c>
      <c r="O107" s="11"/>
      <c r="P107" s="2">
        <v>7785.72</v>
      </c>
      <c r="Q107" s="2"/>
      <c r="R107" s="19">
        <f t="shared" si="13"/>
        <v>1.2390284765385201E-3</v>
      </c>
      <c r="S107" s="2"/>
      <c r="T107" s="2"/>
      <c r="U107" s="2"/>
      <c r="V107" s="19">
        <f t="shared" si="14"/>
        <v>0</v>
      </c>
      <c r="W107" s="2"/>
      <c r="X107" s="2">
        <f t="shared" si="15"/>
        <v>7785.72</v>
      </c>
      <c r="Y107" s="2"/>
      <c r="Z107" s="19">
        <f t="shared" si="16"/>
        <v>0</v>
      </c>
    </row>
    <row r="108" spans="1:26" s="24" customFormat="1" hidden="1" outlineLevel="1" x14ac:dyDescent="0.25">
      <c r="A108" s="44"/>
      <c r="B108" s="11" t="str">
        <f>CONCATENATE("          ", "5040", " - ", "PURCHASES @ COST-LOGO CLOTHING")</f>
        <v xml:space="preserve">          5040 - PURCHASES @ COST-LOGO CLOTHING</v>
      </c>
      <c r="C108" s="11"/>
      <c r="D108" s="2">
        <v>45900.51</v>
      </c>
      <c r="E108" s="2"/>
      <c r="F108" s="19">
        <f t="shared" si="9"/>
        <v>7.4880934519340636E-2</v>
      </c>
      <c r="G108" s="2"/>
      <c r="H108" s="2"/>
      <c r="I108" s="2"/>
      <c r="J108" s="19">
        <f t="shared" si="10"/>
        <v>0</v>
      </c>
      <c r="K108" s="2"/>
      <c r="L108" s="2">
        <f t="shared" si="11"/>
        <v>45900.51</v>
      </c>
      <c r="M108" s="2"/>
      <c r="N108" s="19">
        <f t="shared" si="12"/>
        <v>0</v>
      </c>
      <c r="O108" s="11"/>
      <c r="P108" s="2">
        <v>239871.6</v>
      </c>
      <c r="Q108" s="2"/>
      <c r="R108" s="19">
        <f t="shared" si="13"/>
        <v>3.8173443575270791E-2</v>
      </c>
      <c r="S108" s="2"/>
      <c r="T108" s="2"/>
      <c r="U108" s="2"/>
      <c r="V108" s="19">
        <f t="shared" si="14"/>
        <v>0</v>
      </c>
      <c r="W108" s="2"/>
      <c r="X108" s="2">
        <f t="shared" si="15"/>
        <v>239871.6</v>
      </c>
      <c r="Y108" s="2"/>
      <c r="Z108" s="19">
        <f t="shared" si="16"/>
        <v>0</v>
      </c>
    </row>
    <row r="109" spans="1:26" s="24" customFormat="1" hidden="1" outlineLevel="1" x14ac:dyDescent="0.25">
      <c r="A109" s="44"/>
      <c r="B109" s="11" t="str">
        <f>CONCATENATE("          ", "5041", " - ", "PURCHASES @ COST-LOGO GIFTS")</f>
        <v xml:space="preserve">          5041 - PURCHASES @ COST-LOGO GIFTS</v>
      </c>
      <c r="C109" s="11"/>
      <c r="D109" s="2">
        <v>899.63</v>
      </c>
      <c r="E109" s="2"/>
      <c r="F109" s="19">
        <f t="shared" si="9"/>
        <v>1.4676336956089249E-3</v>
      </c>
      <c r="G109" s="2"/>
      <c r="H109" s="2"/>
      <c r="I109" s="2"/>
      <c r="J109" s="19">
        <f t="shared" si="10"/>
        <v>0</v>
      </c>
      <c r="K109" s="2"/>
      <c r="L109" s="2">
        <f t="shared" si="11"/>
        <v>899.63</v>
      </c>
      <c r="M109" s="2"/>
      <c r="N109" s="19">
        <f t="shared" si="12"/>
        <v>0</v>
      </c>
      <c r="O109" s="11"/>
      <c r="P109" s="2">
        <v>68463.44</v>
      </c>
      <c r="Q109" s="2"/>
      <c r="R109" s="19">
        <f t="shared" si="13"/>
        <v>1.089535094529297E-2</v>
      </c>
      <c r="S109" s="2"/>
      <c r="T109" s="2"/>
      <c r="U109" s="2"/>
      <c r="V109" s="19">
        <f t="shared" si="14"/>
        <v>0</v>
      </c>
      <c r="W109" s="2"/>
      <c r="X109" s="2">
        <f t="shared" si="15"/>
        <v>68463.44</v>
      </c>
      <c r="Y109" s="2"/>
      <c r="Z109" s="19">
        <f t="shared" si="16"/>
        <v>0</v>
      </c>
    </row>
    <row r="110" spans="1:26" s="24" customFormat="1" hidden="1" outlineLevel="1" x14ac:dyDescent="0.25">
      <c r="A110" s="44"/>
      <c r="B110" s="11" t="str">
        <f>CONCATENATE("          ", "5042", " - ", "PURCHASES @ COST-EVERYDAY GIFT")</f>
        <v xml:space="preserve">          5042 - PURCHASES @ COST-EVERYDAY GIFT</v>
      </c>
      <c r="C110" s="11"/>
      <c r="D110" s="2">
        <v>-270</v>
      </c>
      <c r="E110" s="2"/>
      <c r="F110" s="19">
        <f t="shared" si="9"/>
        <v>-4.4047119128353849E-4</v>
      </c>
      <c r="G110" s="2"/>
      <c r="H110" s="2"/>
      <c r="I110" s="2"/>
      <c r="J110" s="19">
        <f t="shared" si="10"/>
        <v>0</v>
      </c>
      <c r="K110" s="2"/>
      <c r="L110" s="2">
        <f t="shared" si="11"/>
        <v>-270</v>
      </c>
      <c r="M110" s="2"/>
      <c r="N110" s="19">
        <f t="shared" si="12"/>
        <v>0</v>
      </c>
      <c r="O110" s="11"/>
      <c r="P110" s="2">
        <v>18748.18</v>
      </c>
      <c r="Q110" s="2"/>
      <c r="R110" s="19">
        <f t="shared" si="13"/>
        <v>2.9836070271304325E-3</v>
      </c>
      <c r="S110" s="2"/>
      <c r="T110" s="2"/>
      <c r="U110" s="2"/>
      <c r="V110" s="19">
        <f t="shared" si="14"/>
        <v>0</v>
      </c>
      <c r="W110" s="2"/>
      <c r="X110" s="2">
        <f t="shared" si="15"/>
        <v>18748.18</v>
      </c>
      <c r="Y110" s="2"/>
      <c r="Z110" s="19">
        <f t="shared" si="16"/>
        <v>0</v>
      </c>
    </row>
    <row r="111" spans="1:26" s="24" customFormat="1" hidden="1" outlineLevel="1" x14ac:dyDescent="0.25">
      <c r="A111" s="44"/>
      <c r="B111" s="11" t="str">
        <f>CONCATENATE("          ", "5043", " - ", "PURCHASES @ COST-CARDS")</f>
        <v xml:space="preserve">          5043 - PURCHASES @ COST-CARDS</v>
      </c>
      <c r="C111" s="11"/>
      <c r="D111" s="2"/>
      <c r="E111" s="2"/>
      <c r="F111" s="19">
        <f t="shared" si="9"/>
        <v>0</v>
      </c>
      <c r="G111" s="2"/>
      <c r="H111" s="2"/>
      <c r="I111" s="2"/>
      <c r="J111" s="19">
        <f t="shared" si="10"/>
        <v>0</v>
      </c>
      <c r="K111" s="2"/>
      <c r="L111" s="2">
        <f t="shared" si="11"/>
        <v>0</v>
      </c>
      <c r="M111" s="2"/>
      <c r="N111" s="19">
        <f t="shared" si="12"/>
        <v>0</v>
      </c>
      <c r="O111" s="11"/>
      <c r="P111" s="2">
        <v>55364.33</v>
      </c>
      <c r="Q111" s="2"/>
      <c r="R111" s="19">
        <f t="shared" si="13"/>
        <v>8.8107434449833655E-3</v>
      </c>
      <c r="S111" s="2"/>
      <c r="T111" s="2"/>
      <c r="U111" s="2"/>
      <c r="V111" s="19">
        <f t="shared" si="14"/>
        <v>0</v>
      </c>
      <c r="W111" s="2"/>
      <c r="X111" s="2">
        <f t="shared" si="15"/>
        <v>55364.33</v>
      </c>
      <c r="Y111" s="2"/>
      <c r="Z111" s="19">
        <f t="shared" si="16"/>
        <v>0</v>
      </c>
    </row>
    <row r="112" spans="1:26" s="24" customFormat="1" hidden="1" outlineLevel="1" x14ac:dyDescent="0.25">
      <c r="A112" s="44"/>
      <c r="B112" s="11" t="str">
        <f>CONCATENATE("          ", "5044", " - ", "PURCHASES @ COST-ACCESSORIES")</f>
        <v xml:space="preserve">          5044 - PURCHASES @ COST-ACCESSORIES</v>
      </c>
      <c r="C112" s="11"/>
      <c r="D112" s="2"/>
      <c r="E112" s="2"/>
      <c r="F112" s="19">
        <f t="shared" si="9"/>
        <v>0</v>
      </c>
      <c r="G112" s="2"/>
      <c r="H112" s="2"/>
      <c r="I112" s="2"/>
      <c r="J112" s="19">
        <f t="shared" si="10"/>
        <v>0</v>
      </c>
      <c r="K112" s="2"/>
      <c r="L112" s="2">
        <f t="shared" si="11"/>
        <v>0</v>
      </c>
      <c r="M112" s="2"/>
      <c r="N112" s="19">
        <f t="shared" si="12"/>
        <v>0</v>
      </c>
      <c r="O112" s="11"/>
      <c r="P112" s="2">
        <v>1064.83</v>
      </c>
      <c r="Q112" s="2"/>
      <c r="R112" s="19">
        <f t="shared" si="13"/>
        <v>1.6945827652067017E-4</v>
      </c>
      <c r="S112" s="2"/>
      <c r="T112" s="2"/>
      <c r="U112" s="2"/>
      <c r="V112" s="19">
        <f t="shared" si="14"/>
        <v>0</v>
      </c>
      <c r="W112" s="2"/>
      <c r="X112" s="2">
        <f t="shared" si="15"/>
        <v>1064.83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"5045", " - ", "PURCHASES @ COST-SPECIAL ORDER")</f>
        <v xml:space="preserve">          5045 - PURCHASES @ COST-SPECIAL ORDER</v>
      </c>
      <c r="C113" s="11"/>
      <c r="D113" s="2">
        <v>13853.18</v>
      </c>
      <c r="E113" s="2"/>
      <c r="F113" s="19">
        <f t="shared" si="9"/>
        <v>2.2599728509871443E-2</v>
      </c>
      <c r="G113" s="2"/>
      <c r="H113" s="2"/>
      <c r="I113" s="2"/>
      <c r="J113" s="19">
        <f t="shared" si="10"/>
        <v>0</v>
      </c>
      <c r="K113" s="2"/>
      <c r="L113" s="2">
        <f t="shared" si="11"/>
        <v>13853.18</v>
      </c>
      <c r="M113" s="2"/>
      <c r="N113" s="19">
        <f t="shared" si="12"/>
        <v>0</v>
      </c>
      <c r="O113" s="11"/>
      <c r="P113" s="2">
        <v>109226.69</v>
      </c>
      <c r="Q113" s="2"/>
      <c r="R113" s="19">
        <f t="shared" si="13"/>
        <v>1.7382461648767899E-2</v>
      </c>
      <c r="S113" s="2"/>
      <c r="T113" s="2"/>
      <c r="U113" s="2"/>
      <c r="V113" s="19">
        <f t="shared" si="14"/>
        <v>0</v>
      </c>
      <c r="W113" s="2"/>
      <c r="X113" s="2">
        <f t="shared" si="15"/>
        <v>109226.69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"5081", " - ", "PURCHASES @ COST-ELECTRONICS")</f>
        <v xml:space="preserve">          5081 - PURCHASES @ COST-ELECTRONICS</v>
      </c>
      <c r="C114" s="11"/>
      <c r="D114" s="2">
        <v>309.97000000000003</v>
      </c>
      <c r="E114" s="2"/>
      <c r="F114" s="19">
        <f t="shared" si="9"/>
        <v>5.0567724134132751E-4</v>
      </c>
      <c r="G114" s="2"/>
      <c r="H114" s="2"/>
      <c r="I114" s="2"/>
      <c r="J114" s="19">
        <f t="shared" si="10"/>
        <v>0</v>
      </c>
      <c r="K114" s="2"/>
      <c r="L114" s="2">
        <f t="shared" si="11"/>
        <v>309.97000000000003</v>
      </c>
      <c r="M114" s="2"/>
      <c r="N114" s="19">
        <f t="shared" si="12"/>
        <v>0</v>
      </c>
      <c r="O114" s="11"/>
      <c r="P114" s="2">
        <v>32467.87</v>
      </c>
      <c r="Q114" s="2"/>
      <c r="R114" s="19">
        <f t="shared" si="13"/>
        <v>5.1669743456675453E-3</v>
      </c>
      <c r="S114" s="2"/>
      <c r="T114" s="2"/>
      <c r="U114" s="2"/>
      <c r="V114" s="19">
        <f t="shared" si="14"/>
        <v>0</v>
      </c>
      <c r="W114" s="2"/>
      <c r="X114" s="2">
        <f t="shared" si="15"/>
        <v>32467.87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"5082", " - ", "PURCHASES @ COST-COMPUTER HARD")</f>
        <v xml:space="preserve">          5082 - PURCHASES @ COST-COMPUTER HARD</v>
      </c>
      <c r="C115" s="11"/>
      <c r="D115" s="2">
        <v>132715.92000000001</v>
      </c>
      <c r="E115" s="2"/>
      <c r="F115" s="19">
        <f t="shared" si="9"/>
        <v>0.21650940512848443</v>
      </c>
      <c r="G115" s="2"/>
      <c r="H115" s="2"/>
      <c r="I115" s="2"/>
      <c r="J115" s="19">
        <f t="shared" si="10"/>
        <v>0</v>
      </c>
      <c r="K115" s="2"/>
      <c r="L115" s="2">
        <f t="shared" si="11"/>
        <v>132715.92000000001</v>
      </c>
      <c r="M115" s="2"/>
      <c r="N115" s="19">
        <f t="shared" si="12"/>
        <v>0</v>
      </c>
      <c r="O115" s="11"/>
      <c r="P115" s="2">
        <v>1396293.76</v>
      </c>
      <c r="Q115" s="2"/>
      <c r="R115" s="19">
        <f t="shared" si="13"/>
        <v>0.22220780226530648</v>
      </c>
      <c r="S115" s="2"/>
      <c r="T115" s="2"/>
      <c r="U115" s="2"/>
      <c r="V115" s="19">
        <f t="shared" si="14"/>
        <v>0</v>
      </c>
      <c r="W115" s="2"/>
      <c r="X115" s="2">
        <f t="shared" si="15"/>
        <v>1396293.76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"5083", " - ", "PURCHASES @ COST-COMPUTER EQUI")</f>
        <v xml:space="preserve">          5083 - PURCHASES @ COST-COMPUTER EQUI</v>
      </c>
      <c r="C116" s="11"/>
      <c r="D116" s="2">
        <v>6015.06</v>
      </c>
      <c r="E116" s="2"/>
      <c r="F116" s="19">
        <f t="shared" si="9"/>
        <v>9.8128171994146703E-3</v>
      </c>
      <c r="G116" s="2"/>
      <c r="H116" s="2"/>
      <c r="I116" s="2"/>
      <c r="J116" s="19">
        <f t="shared" si="10"/>
        <v>0</v>
      </c>
      <c r="K116" s="2"/>
      <c r="L116" s="2">
        <f t="shared" si="11"/>
        <v>6015.06</v>
      </c>
      <c r="M116" s="2"/>
      <c r="N116" s="19">
        <f t="shared" si="12"/>
        <v>0</v>
      </c>
      <c r="O116" s="11"/>
      <c r="P116" s="2">
        <v>105203.33</v>
      </c>
      <c r="Q116" s="2"/>
      <c r="R116" s="19">
        <f t="shared" si="13"/>
        <v>1.6742179489716968E-2</v>
      </c>
      <c r="S116" s="2"/>
      <c r="T116" s="2"/>
      <c r="U116" s="2"/>
      <c r="V116" s="19">
        <f t="shared" si="14"/>
        <v>0</v>
      </c>
      <c r="W116" s="2"/>
      <c r="X116" s="2">
        <f t="shared" si="15"/>
        <v>105203.33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"5085", " - ", "PURCHASES @ COST-SOFTWARE")</f>
        <v xml:space="preserve">          5085 - PURCHASES @ COST-SOFTWARE</v>
      </c>
      <c r="C117" s="11"/>
      <c r="D117" s="2">
        <v>3753.26</v>
      </c>
      <c r="E117" s="2"/>
      <c r="F117" s="19">
        <f t="shared" si="9"/>
        <v>6.1229737162846439E-3</v>
      </c>
      <c r="G117" s="2"/>
      <c r="H117" s="2"/>
      <c r="I117" s="2"/>
      <c r="J117" s="19">
        <f t="shared" si="10"/>
        <v>0</v>
      </c>
      <c r="K117" s="2"/>
      <c r="L117" s="2">
        <f t="shared" si="11"/>
        <v>3753.26</v>
      </c>
      <c r="M117" s="2"/>
      <c r="N117" s="19">
        <f t="shared" si="12"/>
        <v>0</v>
      </c>
      <c r="O117" s="11"/>
      <c r="P117" s="2">
        <v>33898.71</v>
      </c>
      <c r="Q117" s="2"/>
      <c r="R117" s="19">
        <f t="shared" si="13"/>
        <v>5.3946798764816992E-3</v>
      </c>
      <c r="S117" s="2"/>
      <c r="T117" s="2"/>
      <c r="U117" s="2"/>
      <c r="V117" s="19">
        <f t="shared" si="14"/>
        <v>0</v>
      </c>
      <c r="W117" s="2"/>
      <c r="X117" s="2">
        <f t="shared" si="15"/>
        <v>33898.71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"5086", " - ", "PURCHASES @ COST-COMPUTER SUPP")</f>
        <v xml:space="preserve">          5086 - PURCHASES @ COST-COMPUTER SUPP</v>
      </c>
      <c r="C118" s="11"/>
      <c r="D118" s="2">
        <v>525.71</v>
      </c>
      <c r="E118" s="2"/>
      <c r="F118" s="19">
        <f t="shared" si="9"/>
        <v>8.5763003692470013E-4</v>
      </c>
      <c r="G118" s="2"/>
      <c r="H118" s="2"/>
      <c r="I118" s="2"/>
      <c r="J118" s="19">
        <f t="shared" si="10"/>
        <v>0</v>
      </c>
      <c r="K118" s="2"/>
      <c r="L118" s="2">
        <f t="shared" si="11"/>
        <v>525.71</v>
      </c>
      <c r="M118" s="2"/>
      <c r="N118" s="19">
        <f t="shared" si="12"/>
        <v>0</v>
      </c>
      <c r="O118" s="11"/>
      <c r="P118" s="2">
        <v>23664.2</v>
      </c>
      <c r="Q118" s="2"/>
      <c r="R118" s="19">
        <f t="shared" si="13"/>
        <v>3.7659481299742153E-3</v>
      </c>
      <c r="S118" s="2"/>
      <c r="T118" s="2"/>
      <c r="U118" s="2"/>
      <c r="V118" s="19">
        <f t="shared" si="14"/>
        <v>0</v>
      </c>
      <c r="W118" s="2"/>
      <c r="X118" s="2">
        <f t="shared" si="15"/>
        <v>23664.2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"5092", " - ", "PURCHASES @ COST-GRAD MERCH")</f>
        <v xml:space="preserve">          5092 - PURCHASES @ COST-GRAD MERCH</v>
      </c>
      <c r="C119" s="11"/>
      <c r="D119" s="2"/>
      <c r="E119" s="2"/>
      <c r="F119" s="19">
        <f t="shared" si="9"/>
        <v>0</v>
      </c>
      <c r="G119" s="2"/>
      <c r="H119" s="2"/>
      <c r="I119" s="2"/>
      <c r="J119" s="19">
        <f t="shared" si="10"/>
        <v>0</v>
      </c>
      <c r="K119" s="2"/>
      <c r="L119" s="2">
        <f t="shared" si="11"/>
        <v>0</v>
      </c>
      <c r="M119" s="2"/>
      <c r="N119" s="19">
        <f t="shared" si="12"/>
        <v>0</v>
      </c>
      <c r="O119" s="11"/>
      <c r="P119" s="2">
        <v>0</v>
      </c>
      <c r="Q119" s="2"/>
      <c r="R119" s="19">
        <f t="shared" si="13"/>
        <v>0</v>
      </c>
      <c r="S119" s="2"/>
      <c r="T119" s="2"/>
      <c r="U119" s="2"/>
      <c r="V119" s="19">
        <f t="shared" si="14"/>
        <v>0</v>
      </c>
      <c r="W119" s="2"/>
      <c r="X119" s="2">
        <f t="shared" si="15"/>
        <v>0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"5200", " - ", "PURCHASES OFFSET")</f>
        <v xml:space="preserve">          5200 - PURCHASES OFFSET</v>
      </c>
      <c r="C120" s="11"/>
      <c r="D120" s="2">
        <v>73739.19</v>
      </c>
      <c r="E120" s="2"/>
      <c r="F120" s="19">
        <f t="shared" si="9"/>
        <v>0.12029625505030811</v>
      </c>
      <c r="G120" s="2"/>
      <c r="H120" s="2"/>
      <c r="I120" s="2"/>
      <c r="J120" s="19">
        <f t="shared" si="10"/>
        <v>0</v>
      </c>
      <c r="K120" s="2"/>
      <c r="L120" s="2">
        <f t="shared" si="11"/>
        <v>73739.19</v>
      </c>
      <c r="M120" s="2"/>
      <c r="N120" s="19">
        <f t="shared" si="12"/>
        <v>0</v>
      </c>
      <c r="O120" s="11"/>
      <c r="P120" s="2">
        <v>-3351949.73</v>
      </c>
      <c r="Q120" s="2"/>
      <c r="R120" s="19">
        <f t="shared" si="13"/>
        <v>-0.53343315292556159</v>
      </c>
      <c r="S120" s="2"/>
      <c r="T120" s="2"/>
      <c r="U120" s="2"/>
      <c r="V120" s="19">
        <f t="shared" si="14"/>
        <v>0</v>
      </c>
      <c r="W120" s="2"/>
      <c r="X120" s="2">
        <f t="shared" si="15"/>
        <v>-3351949.73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"5300", " - ", "COG$ OFFSET")</f>
        <v xml:space="preserve">          5300 - COG$ OFFSET</v>
      </c>
      <c r="C121" s="11"/>
      <c r="D121" s="2">
        <v>453621</v>
      </c>
      <c r="E121" s="2"/>
      <c r="F121" s="19">
        <f t="shared" si="9"/>
        <v>0.74002586022677785</v>
      </c>
      <c r="G121" s="2"/>
      <c r="H121" s="2"/>
      <c r="I121" s="2"/>
      <c r="J121" s="19">
        <f t="shared" si="10"/>
        <v>0</v>
      </c>
      <c r="K121" s="2"/>
      <c r="L121" s="2">
        <f t="shared" si="11"/>
        <v>453621</v>
      </c>
      <c r="M121" s="2"/>
      <c r="N121" s="19">
        <f t="shared" si="12"/>
        <v>0</v>
      </c>
      <c r="O121" s="11"/>
      <c r="P121" s="2">
        <v>4038084</v>
      </c>
      <c r="Q121" s="2"/>
      <c r="R121" s="19">
        <f t="shared" si="13"/>
        <v>0.64262535342326377</v>
      </c>
      <c r="S121" s="2"/>
      <c r="T121" s="2"/>
      <c r="U121" s="2"/>
      <c r="V121" s="19">
        <f t="shared" si="14"/>
        <v>0</v>
      </c>
      <c r="W121" s="2"/>
      <c r="X121" s="2">
        <f t="shared" si="15"/>
        <v>4038084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"5500", " - ", "FREIGHT-IN")</f>
        <v xml:space="preserve">          5500 - FREIGHT-IN</v>
      </c>
      <c r="C122" s="11"/>
      <c r="D122" s="2"/>
      <c r="E122" s="2"/>
      <c r="F122" s="19">
        <f t="shared" si="9"/>
        <v>0</v>
      </c>
      <c r="G122" s="2"/>
      <c r="H122" s="2"/>
      <c r="I122" s="2"/>
      <c r="J122" s="19">
        <f t="shared" si="10"/>
        <v>0</v>
      </c>
      <c r="K122" s="2"/>
      <c r="L122" s="2">
        <f t="shared" si="11"/>
        <v>0</v>
      </c>
      <c r="M122" s="2"/>
      <c r="N122" s="19">
        <f t="shared" si="12"/>
        <v>0</v>
      </c>
      <c r="O122" s="11"/>
      <c r="P122" s="2">
        <v>0</v>
      </c>
      <c r="Q122" s="2"/>
      <c r="R122" s="19">
        <f t="shared" si="13"/>
        <v>0</v>
      </c>
      <c r="S122" s="2"/>
      <c r="T122" s="2"/>
      <c r="U122" s="2"/>
      <c r="V122" s="19">
        <f t="shared" si="14"/>
        <v>0</v>
      </c>
      <c r="W122" s="2"/>
      <c r="X122" s="2">
        <f t="shared" si="15"/>
        <v>0</v>
      </c>
      <c r="Y122" s="2"/>
      <c r="Z122" s="19">
        <f t="shared" si="16"/>
        <v>0</v>
      </c>
    </row>
    <row r="123" spans="1:26" s="24" customFormat="1" hidden="1" outlineLevel="1" x14ac:dyDescent="0.25">
      <c r="A123" s="44"/>
      <c r="B123" s="11" t="str">
        <f>CONCATENATE("          ", "5501", " - ", "FREIGHT-IN-NEW TEXT")</f>
        <v xml:space="preserve">          5501 - FREIGHT-IN-NEW TEXT</v>
      </c>
      <c r="C123" s="11"/>
      <c r="D123" s="2">
        <v>785.54</v>
      </c>
      <c r="E123" s="2"/>
      <c r="F123" s="19">
        <f t="shared" si="9"/>
        <v>1.281510146669892E-3</v>
      </c>
      <c r="G123" s="2"/>
      <c r="H123" s="2"/>
      <c r="I123" s="2"/>
      <c r="J123" s="19">
        <f t="shared" si="10"/>
        <v>0</v>
      </c>
      <c r="K123" s="2"/>
      <c r="L123" s="2">
        <f t="shared" si="11"/>
        <v>785.54</v>
      </c>
      <c r="M123" s="2"/>
      <c r="N123" s="19">
        <f t="shared" si="12"/>
        <v>0</v>
      </c>
      <c r="O123" s="11"/>
      <c r="P123" s="2">
        <v>50042.46</v>
      </c>
      <c r="Q123" s="2"/>
      <c r="R123" s="19">
        <f t="shared" si="13"/>
        <v>7.963814904214361E-3</v>
      </c>
      <c r="S123" s="2"/>
      <c r="T123" s="2"/>
      <c r="U123" s="2"/>
      <c r="V123" s="19">
        <f t="shared" si="14"/>
        <v>0</v>
      </c>
      <c r="W123" s="2"/>
      <c r="X123" s="2">
        <f t="shared" si="15"/>
        <v>50042.46</v>
      </c>
      <c r="Y123" s="2"/>
      <c r="Z123" s="19">
        <f t="shared" si="16"/>
        <v>0</v>
      </c>
    </row>
    <row r="124" spans="1:26" s="24" customFormat="1" hidden="1" outlineLevel="1" x14ac:dyDescent="0.25">
      <c r="A124" s="44"/>
      <c r="B124" s="11" t="str">
        <f>CONCATENATE("          ", "5502", " - ", "FREIGHT-IN-USED TEXT")</f>
        <v xml:space="preserve">          5502 - FREIGHT-IN-USED TEXT</v>
      </c>
      <c r="C124" s="11"/>
      <c r="D124" s="2">
        <v>663.37</v>
      </c>
      <c r="E124" s="2"/>
      <c r="F124" s="19">
        <f t="shared" si="9"/>
        <v>1.0822050894880035E-3</v>
      </c>
      <c r="G124" s="2"/>
      <c r="H124" s="2"/>
      <c r="I124" s="2"/>
      <c r="J124" s="19">
        <f t="shared" si="10"/>
        <v>0</v>
      </c>
      <c r="K124" s="2"/>
      <c r="L124" s="2">
        <f t="shared" si="11"/>
        <v>663.37</v>
      </c>
      <c r="M124" s="2"/>
      <c r="N124" s="19">
        <f t="shared" si="12"/>
        <v>0</v>
      </c>
      <c r="O124" s="11"/>
      <c r="P124" s="2">
        <v>17800.13</v>
      </c>
      <c r="Q124" s="2"/>
      <c r="R124" s="19">
        <f t="shared" si="13"/>
        <v>2.8327332547391391E-3</v>
      </c>
      <c r="S124" s="2"/>
      <c r="T124" s="2"/>
      <c r="U124" s="2"/>
      <c r="V124" s="19">
        <f t="shared" si="14"/>
        <v>0</v>
      </c>
      <c r="W124" s="2"/>
      <c r="X124" s="2">
        <f t="shared" si="15"/>
        <v>17800.13</v>
      </c>
      <c r="Y124" s="2"/>
      <c r="Z124" s="19">
        <f t="shared" si="16"/>
        <v>0</v>
      </c>
    </row>
    <row r="125" spans="1:26" s="24" customFormat="1" hidden="1" outlineLevel="1" x14ac:dyDescent="0.25">
      <c r="A125" s="44"/>
      <c r="B125" s="11" t="str">
        <f>CONCATENATE("          ", "5504", " - ", "FREIGHT-IN-DIGITAL TEXT")</f>
        <v xml:space="preserve">          5504 - FREIGHT-IN-DIGITAL TEXT</v>
      </c>
      <c r="C125" s="11"/>
      <c r="D125" s="2"/>
      <c r="E125" s="2"/>
      <c r="F125" s="19">
        <f t="shared" si="9"/>
        <v>0</v>
      </c>
      <c r="G125" s="2"/>
      <c r="H125" s="2"/>
      <c r="I125" s="2"/>
      <c r="J125" s="19">
        <f t="shared" si="10"/>
        <v>0</v>
      </c>
      <c r="K125" s="2"/>
      <c r="L125" s="2">
        <f t="shared" si="11"/>
        <v>0</v>
      </c>
      <c r="M125" s="2"/>
      <c r="N125" s="19">
        <f t="shared" si="12"/>
        <v>0</v>
      </c>
      <c r="O125" s="11"/>
      <c r="P125" s="2">
        <v>28.92</v>
      </c>
      <c r="Q125" s="2"/>
      <c r="R125" s="19">
        <f t="shared" si="13"/>
        <v>4.6023622146049439E-6</v>
      </c>
      <c r="S125" s="2"/>
      <c r="T125" s="2"/>
      <c r="U125" s="2"/>
      <c r="V125" s="19">
        <f t="shared" si="14"/>
        <v>0</v>
      </c>
      <c r="W125" s="2"/>
      <c r="X125" s="2">
        <f t="shared" si="15"/>
        <v>28.92</v>
      </c>
      <c r="Y125" s="2"/>
      <c r="Z125" s="19">
        <f t="shared" si="16"/>
        <v>0</v>
      </c>
    </row>
    <row r="126" spans="1:26" s="24" customFormat="1" hidden="1" outlineLevel="1" x14ac:dyDescent="0.25">
      <c r="A126" s="44"/>
      <c r="B126" s="11" t="str">
        <f>CONCATENATE("          ", "5513", " - ", "FREIGHT-IN-TRADE BOOKS")</f>
        <v xml:space="preserve">          5513 - FREIGHT-IN-TRADE BOOKS</v>
      </c>
      <c r="C126" s="11"/>
      <c r="D126" s="2">
        <v>51.76</v>
      </c>
      <c r="E126" s="2"/>
      <c r="F126" s="19">
        <f t="shared" si="9"/>
        <v>8.4439958743836853E-5</v>
      </c>
      <c r="G126" s="2"/>
      <c r="H126" s="2"/>
      <c r="I126" s="2"/>
      <c r="J126" s="19">
        <f t="shared" si="10"/>
        <v>0</v>
      </c>
      <c r="K126" s="2"/>
      <c r="L126" s="2">
        <f t="shared" si="11"/>
        <v>51.76</v>
      </c>
      <c r="M126" s="2"/>
      <c r="N126" s="19">
        <f t="shared" si="12"/>
        <v>0</v>
      </c>
      <c r="O126" s="11"/>
      <c r="P126" s="2">
        <v>85.28</v>
      </c>
      <c r="Q126" s="2"/>
      <c r="R126" s="19">
        <f t="shared" si="13"/>
        <v>1.357155773380047E-5</v>
      </c>
      <c r="S126" s="2"/>
      <c r="T126" s="2"/>
      <c r="U126" s="2"/>
      <c r="V126" s="19">
        <f t="shared" si="14"/>
        <v>0</v>
      </c>
      <c r="W126" s="2"/>
      <c r="X126" s="2">
        <f t="shared" si="15"/>
        <v>85.28</v>
      </c>
      <c r="Y126" s="2"/>
      <c r="Z126" s="19">
        <f t="shared" si="16"/>
        <v>0</v>
      </c>
    </row>
    <row r="127" spans="1:26" s="24" customFormat="1" hidden="1" outlineLevel="1" x14ac:dyDescent="0.25">
      <c r="A127" s="44"/>
      <c r="B127" s="11" t="str">
        <f>CONCATENATE("          ", "5525", " - ", "FREIGHT-IN-TEST FORMS")</f>
        <v xml:space="preserve">          5525 - FREIGHT-IN-TEST FORMS</v>
      </c>
      <c r="C127" s="11"/>
      <c r="D127" s="2"/>
      <c r="E127" s="2"/>
      <c r="F127" s="19">
        <f t="shared" si="9"/>
        <v>0</v>
      </c>
      <c r="G127" s="2"/>
      <c r="H127" s="2"/>
      <c r="I127" s="2"/>
      <c r="J127" s="19">
        <f t="shared" si="10"/>
        <v>0</v>
      </c>
      <c r="K127" s="2"/>
      <c r="L127" s="2">
        <f t="shared" si="11"/>
        <v>0</v>
      </c>
      <c r="M127" s="2"/>
      <c r="N127" s="19">
        <f t="shared" si="12"/>
        <v>0</v>
      </c>
      <c r="O127" s="11"/>
      <c r="P127" s="2">
        <v>48.14</v>
      </c>
      <c r="Q127" s="2"/>
      <c r="R127" s="19">
        <f t="shared" si="13"/>
        <v>7.6610552216833323E-6</v>
      </c>
      <c r="S127" s="2"/>
      <c r="T127" s="2"/>
      <c r="U127" s="2"/>
      <c r="V127" s="19">
        <f t="shared" si="14"/>
        <v>0</v>
      </c>
      <c r="W127" s="2"/>
      <c r="X127" s="2">
        <f t="shared" si="15"/>
        <v>48.14</v>
      </c>
      <c r="Y127" s="2"/>
      <c r="Z127" s="19">
        <f t="shared" si="16"/>
        <v>0</v>
      </c>
    </row>
    <row r="128" spans="1:26" s="24" customFormat="1" hidden="1" outlineLevel="1" x14ac:dyDescent="0.25">
      <c r="A128" s="44"/>
      <c r="B128" s="11" t="str">
        <f>CONCATENATE("          ", "5526", " - ", "FREIGHT-IN-WRITING INSTRUMENTS")</f>
        <v xml:space="preserve">          5526 - FREIGHT-IN-WRITING INSTRUMENTS</v>
      </c>
      <c r="C128" s="11"/>
      <c r="D128" s="2"/>
      <c r="E128" s="2"/>
      <c r="F128" s="19">
        <f t="shared" si="9"/>
        <v>0</v>
      </c>
      <c r="G128" s="2"/>
      <c r="H128" s="2"/>
      <c r="I128" s="2"/>
      <c r="J128" s="19">
        <f t="shared" si="10"/>
        <v>0</v>
      </c>
      <c r="K128" s="2"/>
      <c r="L128" s="2">
        <f t="shared" si="11"/>
        <v>0</v>
      </c>
      <c r="M128" s="2"/>
      <c r="N128" s="19">
        <f t="shared" si="12"/>
        <v>0</v>
      </c>
      <c r="O128" s="11"/>
      <c r="P128" s="2">
        <v>0</v>
      </c>
      <c r="Q128" s="2"/>
      <c r="R128" s="19">
        <f t="shared" si="13"/>
        <v>0</v>
      </c>
      <c r="S128" s="2"/>
      <c r="T128" s="2"/>
      <c r="U128" s="2"/>
      <c r="V128" s="19">
        <f t="shared" si="14"/>
        <v>0</v>
      </c>
      <c r="W128" s="2"/>
      <c r="X128" s="2">
        <f t="shared" si="15"/>
        <v>0</v>
      </c>
      <c r="Y128" s="2"/>
      <c r="Z128" s="19">
        <f t="shared" si="16"/>
        <v>0</v>
      </c>
    </row>
    <row r="129" spans="1:26" s="24" customFormat="1" hidden="1" outlineLevel="1" x14ac:dyDescent="0.25">
      <c r="A129" s="44"/>
      <c r="B129" s="11" t="str">
        <f>CONCATENATE("          ", "5527", " - ", "FREIGHT-IN-SCHOOL SUPPLIES")</f>
        <v xml:space="preserve">          5527 - FREIGHT-IN-SCHOOL SUPPLIES</v>
      </c>
      <c r="C129" s="11"/>
      <c r="D129" s="2">
        <v>41.12</v>
      </c>
      <c r="E129" s="2"/>
      <c r="F129" s="19">
        <f t="shared" si="9"/>
        <v>6.708213105770037E-5</v>
      </c>
      <c r="G129" s="2"/>
      <c r="H129" s="2"/>
      <c r="I129" s="2"/>
      <c r="J129" s="19">
        <f t="shared" si="10"/>
        <v>0</v>
      </c>
      <c r="K129" s="2"/>
      <c r="L129" s="2">
        <f t="shared" si="11"/>
        <v>41.12</v>
      </c>
      <c r="M129" s="2"/>
      <c r="N129" s="19">
        <f t="shared" si="12"/>
        <v>0</v>
      </c>
      <c r="O129" s="11"/>
      <c r="P129" s="2">
        <v>218.62</v>
      </c>
      <c r="Q129" s="2"/>
      <c r="R129" s="19">
        <f t="shared" si="13"/>
        <v>3.4791439396851064E-5</v>
      </c>
      <c r="S129" s="2"/>
      <c r="T129" s="2"/>
      <c r="U129" s="2"/>
      <c r="V129" s="19">
        <f t="shared" si="14"/>
        <v>0</v>
      </c>
      <c r="W129" s="2"/>
      <c r="X129" s="2">
        <f t="shared" si="15"/>
        <v>218.62</v>
      </c>
      <c r="Y129" s="2"/>
      <c r="Z129" s="19">
        <f t="shared" si="16"/>
        <v>0</v>
      </c>
    </row>
    <row r="130" spans="1:26" s="24" customFormat="1" hidden="1" outlineLevel="1" x14ac:dyDescent="0.25">
      <c r="A130" s="44"/>
      <c r="B130" s="11" t="str">
        <f>CONCATENATE("          ", "5528", " - ", "FREIGHT-IN-ART/TECH")</f>
        <v xml:space="preserve">          5528 - FREIGHT-IN-ART/TECH</v>
      </c>
      <c r="C130" s="11"/>
      <c r="D130" s="2">
        <v>103.71</v>
      </c>
      <c r="E130" s="2"/>
      <c r="F130" s="19">
        <f t="shared" si="9"/>
        <v>1.6918987869635473E-4</v>
      </c>
      <c r="G130" s="2"/>
      <c r="H130" s="2"/>
      <c r="I130" s="2"/>
      <c r="J130" s="19">
        <f t="shared" si="10"/>
        <v>0</v>
      </c>
      <c r="K130" s="2"/>
      <c r="L130" s="2">
        <f t="shared" si="11"/>
        <v>103.71</v>
      </c>
      <c r="M130" s="2"/>
      <c r="N130" s="19">
        <f t="shared" si="12"/>
        <v>0</v>
      </c>
      <c r="O130" s="11"/>
      <c r="P130" s="2">
        <v>455.21</v>
      </c>
      <c r="Q130" s="2"/>
      <c r="R130" s="19">
        <f t="shared" si="13"/>
        <v>7.2442645356511634E-5</v>
      </c>
      <c r="S130" s="2"/>
      <c r="T130" s="2"/>
      <c r="U130" s="2"/>
      <c r="V130" s="19">
        <f t="shared" si="14"/>
        <v>0</v>
      </c>
      <c r="W130" s="2"/>
      <c r="X130" s="2">
        <f t="shared" si="15"/>
        <v>455.21</v>
      </c>
      <c r="Y130" s="2"/>
      <c r="Z130" s="19">
        <f t="shared" si="16"/>
        <v>0</v>
      </c>
    </row>
    <row r="131" spans="1:26" s="24" customFormat="1" hidden="1" outlineLevel="1" x14ac:dyDescent="0.25">
      <c r="A131" s="44"/>
      <c r="B131" s="11" t="str">
        <f>CONCATENATE("          ", "5540", " - ", "FREIGHT-IN-LOGO CLOTHING")</f>
        <v xml:space="preserve">          5540 - FREIGHT-IN-LOGO CLOTHING</v>
      </c>
      <c r="C131" s="11"/>
      <c r="D131" s="2">
        <v>1167.1400000000001</v>
      </c>
      <c r="E131" s="2"/>
      <c r="F131" s="19">
        <f t="shared" si="9"/>
        <v>1.9040427636839597E-3</v>
      </c>
      <c r="G131" s="2"/>
      <c r="H131" s="2"/>
      <c r="I131" s="2"/>
      <c r="J131" s="19">
        <f t="shared" si="10"/>
        <v>0</v>
      </c>
      <c r="K131" s="2"/>
      <c r="L131" s="2">
        <f t="shared" si="11"/>
        <v>1167.1400000000001</v>
      </c>
      <c r="M131" s="2"/>
      <c r="N131" s="19">
        <f t="shared" si="12"/>
        <v>0</v>
      </c>
      <c r="O131" s="11"/>
      <c r="P131" s="2">
        <v>7108.37</v>
      </c>
      <c r="Q131" s="2"/>
      <c r="R131" s="19">
        <f t="shared" si="13"/>
        <v>1.1312342149180962E-3</v>
      </c>
      <c r="S131" s="2"/>
      <c r="T131" s="2"/>
      <c r="U131" s="2"/>
      <c r="V131" s="19">
        <f t="shared" si="14"/>
        <v>0</v>
      </c>
      <c r="W131" s="2"/>
      <c r="X131" s="2">
        <f t="shared" si="15"/>
        <v>7108.37</v>
      </c>
      <c r="Y131" s="2"/>
      <c r="Z131" s="19">
        <f t="shared" si="16"/>
        <v>0</v>
      </c>
    </row>
    <row r="132" spans="1:26" s="24" customFormat="1" hidden="1" outlineLevel="1" x14ac:dyDescent="0.25">
      <c r="A132" s="44"/>
      <c r="B132" s="11" t="str">
        <f>CONCATENATE("          ", "5541", " - ", "FREIGHT-IN-LOGO GIFTS")</f>
        <v xml:space="preserve">          5541 - FREIGHT-IN-LOGO GIFTS</v>
      </c>
      <c r="C132" s="11"/>
      <c r="D132" s="2">
        <v>60.07</v>
      </c>
      <c r="E132" s="2"/>
      <c r="F132" s="19">
        <f t="shared" si="9"/>
        <v>9.799668318667466E-5</v>
      </c>
      <c r="G132" s="2"/>
      <c r="H132" s="2"/>
      <c r="I132" s="2"/>
      <c r="J132" s="19">
        <f t="shared" si="10"/>
        <v>0</v>
      </c>
      <c r="K132" s="2"/>
      <c r="L132" s="2">
        <f t="shared" si="11"/>
        <v>60.07</v>
      </c>
      <c r="M132" s="2"/>
      <c r="N132" s="19">
        <f t="shared" si="12"/>
        <v>0</v>
      </c>
      <c r="O132" s="11"/>
      <c r="P132" s="2">
        <v>2138</v>
      </c>
      <c r="Q132" s="2"/>
      <c r="R132" s="19">
        <f t="shared" si="13"/>
        <v>3.402437902775024E-4</v>
      </c>
      <c r="S132" s="2"/>
      <c r="T132" s="2"/>
      <c r="U132" s="2"/>
      <c r="V132" s="19">
        <f t="shared" si="14"/>
        <v>0</v>
      </c>
      <c r="W132" s="2"/>
      <c r="X132" s="2">
        <f t="shared" si="15"/>
        <v>2138</v>
      </c>
      <c r="Y132" s="2"/>
      <c r="Z132" s="19">
        <f t="shared" si="16"/>
        <v>0</v>
      </c>
    </row>
    <row r="133" spans="1:26" s="24" customFormat="1" hidden="1" outlineLevel="1" x14ac:dyDescent="0.25">
      <c r="A133" s="44"/>
      <c r="B133" s="11" t="str">
        <f>CONCATENATE("          ", "5542", " - ", "FREIGHT-IN-EVERYDAY GIFTS")</f>
        <v xml:space="preserve">          5542 - FREIGHT-IN-EVERYDAY GIFTS</v>
      </c>
      <c r="C133" s="11"/>
      <c r="D133" s="2">
        <v>297.79000000000002</v>
      </c>
      <c r="E133" s="2"/>
      <c r="F133" s="19">
        <f t="shared" si="9"/>
        <v>4.8580709649009233E-4</v>
      </c>
      <c r="G133" s="2"/>
      <c r="H133" s="2"/>
      <c r="I133" s="2"/>
      <c r="J133" s="19">
        <f t="shared" si="10"/>
        <v>0</v>
      </c>
      <c r="K133" s="2"/>
      <c r="L133" s="2">
        <f t="shared" si="11"/>
        <v>297.79000000000002</v>
      </c>
      <c r="M133" s="2"/>
      <c r="N133" s="19">
        <f t="shared" si="12"/>
        <v>0</v>
      </c>
      <c r="O133" s="11"/>
      <c r="P133" s="2">
        <v>681.72</v>
      </c>
      <c r="Q133" s="2"/>
      <c r="R133" s="19">
        <f t="shared" si="13"/>
        <v>1.0848970846958791E-4</v>
      </c>
      <c r="S133" s="2"/>
      <c r="T133" s="2"/>
      <c r="U133" s="2"/>
      <c r="V133" s="19">
        <f t="shared" si="14"/>
        <v>0</v>
      </c>
      <c r="W133" s="2"/>
      <c r="X133" s="2">
        <f t="shared" si="15"/>
        <v>681.72</v>
      </c>
      <c r="Y133" s="2"/>
      <c r="Z133" s="19">
        <f t="shared" si="16"/>
        <v>0</v>
      </c>
    </row>
    <row r="134" spans="1:26" s="24" customFormat="1" hidden="1" outlineLevel="1" x14ac:dyDescent="0.25">
      <c r="A134" s="44"/>
      <c r="B134" s="11" t="str">
        <f>CONCATENATE("          ", "5543", " - ", "FREIGHT-IN-CARDS")</f>
        <v xml:space="preserve">          5543 - FREIGHT-IN-CARDS</v>
      </c>
      <c r="C134" s="11"/>
      <c r="D134" s="2"/>
      <c r="E134" s="2"/>
      <c r="F134" s="19">
        <f t="shared" si="9"/>
        <v>0</v>
      </c>
      <c r="G134" s="2"/>
      <c r="H134" s="2"/>
      <c r="I134" s="2"/>
      <c r="J134" s="19">
        <f t="shared" si="10"/>
        <v>0</v>
      </c>
      <c r="K134" s="2"/>
      <c r="L134" s="2">
        <f t="shared" si="11"/>
        <v>0</v>
      </c>
      <c r="M134" s="2"/>
      <c r="N134" s="19">
        <f t="shared" si="12"/>
        <v>0</v>
      </c>
      <c r="O134" s="11"/>
      <c r="P134" s="2">
        <v>9110.5300000000007</v>
      </c>
      <c r="Q134" s="2"/>
      <c r="R134" s="19">
        <f t="shared" si="13"/>
        <v>1.4498602706440103E-3</v>
      </c>
      <c r="S134" s="2"/>
      <c r="T134" s="2"/>
      <c r="U134" s="2"/>
      <c r="V134" s="19">
        <f t="shared" si="14"/>
        <v>0</v>
      </c>
      <c r="W134" s="2"/>
      <c r="X134" s="2">
        <f t="shared" si="15"/>
        <v>9110.5300000000007</v>
      </c>
      <c r="Y134" s="2"/>
      <c r="Z134" s="19">
        <f t="shared" si="16"/>
        <v>0</v>
      </c>
    </row>
    <row r="135" spans="1:26" s="24" customFormat="1" hidden="1" outlineLevel="1" x14ac:dyDescent="0.25">
      <c r="A135" s="44"/>
      <c r="B135" s="11" t="str">
        <f>CONCATENATE("          ", "5545", " - ", "FREIGHT-IN-SPECIAL ORDERS")</f>
        <v xml:space="preserve">          5545 - FREIGHT-IN-SPECIAL ORDERS</v>
      </c>
      <c r="C135" s="11"/>
      <c r="D135" s="2">
        <v>17.63</v>
      </c>
      <c r="E135" s="2"/>
      <c r="F135" s="19">
        <f t="shared" si="9"/>
        <v>2.876113741603253E-5</v>
      </c>
      <c r="G135" s="2"/>
      <c r="H135" s="2"/>
      <c r="I135" s="2"/>
      <c r="J135" s="19">
        <f t="shared" si="10"/>
        <v>0</v>
      </c>
      <c r="K135" s="2"/>
      <c r="L135" s="2">
        <f t="shared" si="11"/>
        <v>17.63</v>
      </c>
      <c r="M135" s="2"/>
      <c r="N135" s="19">
        <f t="shared" si="12"/>
        <v>0</v>
      </c>
      <c r="O135" s="11"/>
      <c r="P135" s="2">
        <v>1266.1600000000001</v>
      </c>
      <c r="Q135" s="2"/>
      <c r="R135" s="19">
        <f t="shared" si="13"/>
        <v>2.0149816534039406E-4</v>
      </c>
      <c r="S135" s="2"/>
      <c r="T135" s="2"/>
      <c r="U135" s="2"/>
      <c r="V135" s="19">
        <f t="shared" si="14"/>
        <v>0</v>
      </c>
      <c r="W135" s="2"/>
      <c r="X135" s="2">
        <f t="shared" si="15"/>
        <v>1266.1600000000001</v>
      </c>
      <c r="Y135" s="2"/>
      <c r="Z135" s="19">
        <f t="shared" si="16"/>
        <v>0</v>
      </c>
    </row>
    <row r="136" spans="1:26" s="24" customFormat="1" hidden="1" outlineLevel="1" x14ac:dyDescent="0.25">
      <c r="A136" s="44"/>
      <c r="B136" s="11" t="str">
        <f>CONCATENATE("          ", "5581", " - ", "FREIGHT-IN-ELECTRONICS")</f>
        <v xml:space="preserve">          5581 - FREIGHT-IN-ELECTRONICS</v>
      </c>
      <c r="C136" s="11"/>
      <c r="D136" s="2"/>
      <c r="E136" s="2"/>
      <c r="F136" s="19">
        <f t="shared" si="9"/>
        <v>0</v>
      </c>
      <c r="G136" s="2"/>
      <c r="H136" s="2"/>
      <c r="I136" s="2"/>
      <c r="J136" s="19">
        <f t="shared" si="10"/>
        <v>0</v>
      </c>
      <c r="K136" s="2"/>
      <c r="L136" s="2">
        <f t="shared" si="11"/>
        <v>0</v>
      </c>
      <c r="M136" s="2"/>
      <c r="N136" s="19">
        <f t="shared" si="12"/>
        <v>0</v>
      </c>
      <c r="O136" s="11"/>
      <c r="P136" s="2">
        <v>31</v>
      </c>
      <c r="Q136" s="2"/>
      <c r="R136" s="19">
        <f t="shared" si="13"/>
        <v>4.9333758178683696E-6</v>
      </c>
      <c r="S136" s="2"/>
      <c r="T136" s="2"/>
      <c r="U136" s="2"/>
      <c r="V136" s="19">
        <f t="shared" si="14"/>
        <v>0</v>
      </c>
      <c r="W136" s="2"/>
      <c r="X136" s="2">
        <f t="shared" si="15"/>
        <v>31</v>
      </c>
      <c r="Y136" s="2"/>
      <c r="Z136" s="19">
        <f t="shared" si="16"/>
        <v>0</v>
      </c>
    </row>
    <row r="137" spans="1:26" s="24" customFormat="1" hidden="1" outlineLevel="1" x14ac:dyDescent="0.25">
      <c r="A137" s="44"/>
      <c r="B137" s="11" t="str">
        <f>CONCATENATE("          ", "5582", " - ", "FREIGHT-IN-COMPUTER HARDWARE")</f>
        <v xml:space="preserve">          5582 - FREIGHT-IN-COMPUTER HARDWARE</v>
      </c>
      <c r="C137" s="11"/>
      <c r="D137" s="2"/>
      <c r="E137" s="2"/>
      <c r="F137" s="19">
        <f t="shared" si="9"/>
        <v>0</v>
      </c>
      <c r="G137" s="2"/>
      <c r="H137" s="2"/>
      <c r="I137" s="2"/>
      <c r="J137" s="19">
        <f t="shared" si="10"/>
        <v>0</v>
      </c>
      <c r="K137" s="2"/>
      <c r="L137" s="2">
        <f t="shared" si="11"/>
        <v>0</v>
      </c>
      <c r="M137" s="2"/>
      <c r="N137" s="19">
        <f t="shared" si="12"/>
        <v>0</v>
      </c>
      <c r="O137" s="11"/>
      <c r="P137" s="2">
        <v>125</v>
      </c>
      <c r="Q137" s="2"/>
      <c r="R137" s="19">
        <f t="shared" si="13"/>
        <v>1.9892644426888587E-5</v>
      </c>
      <c r="S137" s="2"/>
      <c r="T137" s="2"/>
      <c r="U137" s="2"/>
      <c r="V137" s="19">
        <f t="shared" si="14"/>
        <v>0</v>
      </c>
      <c r="W137" s="2"/>
      <c r="X137" s="2">
        <f t="shared" si="15"/>
        <v>125</v>
      </c>
      <c r="Y137" s="2"/>
      <c r="Z137" s="19">
        <f t="shared" si="16"/>
        <v>0</v>
      </c>
    </row>
    <row r="138" spans="1:26" s="24" customFormat="1" hidden="1" outlineLevel="1" x14ac:dyDescent="0.25">
      <c r="A138" s="44"/>
      <c r="B138" s="11" t="str">
        <f>CONCATENATE("          ", "5583", " - ", "FREIGHT-IN-COMPUTER EQUIPMENT")</f>
        <v xml:space="preserve">          5583 - FREIGHT-IN-COMPUTER EQUIPMENT</v>
      </c>
      <c r="C138" s="11"/>
      <c r="D138" s="2"/>
      <c r="E138" s="2"/>
      <c r="F138" s="19">
        <f t="shared" si="9"/>
        <v>0</v>
      </c>
      <c r="G138" s="2"/>
      <c r="H138" s="2"/>
      <c r="I138" s="2"/>
      <c r="J138" s="19">
        <f t="shared" si="10"/>
        <v>0</v>
      </c>
      <c r="K138" s="2"/>
      <c r="L138" s="2">
        <f t="shared" si="11"/>
        <v>0</v>
      </c>
      <c r="M138" s="2"/>
      <c r="N138" s="19">
        <f t="shared" si="12"/>
        <v>0</v>
      </c>
      <c r="O138" s="11"/>
      <c r="P138" s="2">
        <v>242.46</v>
      </c>
      <c r="Q138" s="2"/>
      <c r="R138" s="19">
        <f t="shared" si="13"/>
        <v>3.8585364541947258E-5</v>
      </c>
      <c r="S138" s="2"/>
      <c r="T138" s="2"/>
      <c r="U138" s="2"/>
      <c r="V138" s="19">
        <f t="shared" si="14"/>
        <v>0</v>
      </c>
      <c r="W138" s="2"/>
      <c r="X138" s="2">
        <f t="shared" si="15"/>
        <v>242.46</v>
      </c>
      <c r="Y138" s="2"/>
      <c r="Z138" s="19">
        <f t="shared" si="16"/>
        <v>0</v>
      </c>
    </row>
    <row r="139" spans="1:26" s="24" customFormat="1" hidden="1" outlineLevel="1" x14ac:dyDescent="0.25">
      <c r="A139" s="44"/>
      <c r="B139" s="11" t="str">
        <f>CONCATENATE("          ", "5585", " - ", "FREIGHT-IN-SOFTWARE")</f>
        <v xml:space="preserve">          5585 - FREIGHT-IN-SOFTWARE</v>
      </c>
      <c r="C139" s="11"/>
      <c r="D139" s="2">
        <v>9.41</v>
      </c>
      <c r="E139" s="2"/>
      <c r="F139" s="19">
        <f t="shared" si="9"/>
        <v>1.5351236703622583E-5</v>
      </c>
      <c r="G139" s="2"/>
      <c r="H139" s="2"/>
      <c r="I139" s="2"/>
      <c r="J139" s="19">
        <f t="shared" si="10"/>
        <v>0</v>
      </c>
      <c r="K139" s="2"/>
      <c r="L139" s="2">
        <f t="shared" si="11"/>
        <v>9.41</v>
      </c>
      <c r="M139" s="2"/>
      <c r="N139" s="19">
        <f t="shared" si="12"/>
        <v>0</v>
      </c>
      <c r="O139" s="11"/>
      <c r="P139" s="2">
        <v>9.41</v>
      </c>
      <c r="Q139" s="2"/>
      <c r="R139" s="19">
        <f t="shared" si="13"/>
        <v>1.4975182724561728E-6</v>
      </c>
      <c r="S139" s="2"/>
      <c r="T139" s="2"/>
      <c r="U139" s="2"/>
      <c r="V139" s="19">
        <f t="shared" si="14"/>
        <v>0</v>
      </c>
      <c r="W139" s="2"/>
      <c r="X139" s="2">
        <f t="shared" si="15"/>
        <v>9.41</v>
      </c>
      <c r="Y139" s="2"/>
      <c r="Z139" s="19">
        <f t="shared" si="16"/>
        <v>0</v>
      </c>
    </row>
    <row r="140" spans="1:26" s="24" customFormat="1" hidden="1" outlineLevel="1" x14ac:dyDescent="0.25">
      <c r="A140" s="44"/>
      <c r="B140" s="11" t="str">
        <f>CONCATENATE("          ", "5586", " - ", "FREIGHT-IN-COMPUTER SUPPLIES")</f>
        <v xml:space="preserve">          5586 - FREIGHT-IN-COMPUTER SUPPLIES</v>
      </c>
      <c r="C140" s="11"/>
      <c r="D140" s="2"/>
      <c r="E140" s="2"/>
      <c r="F140" s="19">
        <f t="shared" si="9"/>
        <v>0</v>
      </c>
      <c r="G140" s="2"/>
      <c r="H140" s="2"/>
      <c r="I140" s="2"/>
      <c r="J140" s="19">
        <f t="shared" si="10"/>
        <v>0</v>
      </c>
      <c r="K140" s="2"/>
      <c r="L140" s="2">
        <f t="shared" si="11"/>
        <v>0</v>
      </c>
      <c r="M140" s="2"/>
      <c r="N140" s="19">
        <f t="shared" si="12"/>
        <v>0</v>
      </c>
      <c r="O140" s="11"/>
      <c r="P140" s="2">
        <v>24.12</v>
      </c>
      <c r="Q140" s="2"/>
      <c r="R140" s="19">
        <f t="shared" si="13"/>
        <v>3.8384846686124222E-6</v>
      </c>
      <c r="S140" s="2"/>
      <c r="T140" s="2"/>
      <c r="U140" s="2"/>
      <c r="V140" s="19">
        <f t="shared" si="14"/>
        <v>0</v>
      </c>
      <c r="W140" s="2"/>
      <c r="X140" s="2">
        <f t="shared" si="15"/>
        <v>24.12</v>
      </c>
      <c r="Y140" s="2"/>
      <c r="Z140" s="19">
        <f t="shared" si="16"/>
        <v>0</v>
      </c>
    </row>
    <row r="141" spans="1:26" s="24" customFormat="1" hidden="1" outlineLevel="1" x14ac:dyDescent="0.25">
      <c r="A141" s="44"/>
      <c r="B141" s="11" t="str">
        <f>CONCATENATE("          ", "5592", " - ", "FREIGHT-IN-GRAD MERCH")</f>
        <v xml:space="preserve">          5592 - FREIGHT-IN-GRAD MERCH</v>
      </c>
      <c r="C141" s="11"/>
      <c r="D141" s="2"/>
      <c r="E141" s="2"/>
      <c r="F141" s="19">
        <f t="shared" si="9"/>
        <v>0</v>
      </c>
      <c r="G141" s="2"/>
      <c r="H141" s="2"/>
      <c r="I141" s="2"/>
      <c r="J141" s="19">
        <f t="shared" si="10"/>
        <v>0</v>
      </c>
      <c r="K141" s="2"/>
      <c r="L141" s="2">
        <f t="shared" si="11"/>
        <v>0</v>
      </c>
      <c r="M141" s="2"/>
      <c r="N141" s="19">
        <f t="shared" si="12"/>
        <v>0</v>
      </c>
      <c r="O141" s="11"/>
      <c r="P141" s="2">
        <v>0</v>
      </c>
      <c r="Q141" s="2"/>
      <c r="R141" s="19">
        <f t="shared" si="13"/>
        <v>0</v>
      </c>
      <c r="S141" s="2"/>
      <c r="T141" s="2"/>
      <c r="U141" s="2"/>
      <c r="V141" s="19">
        <f t="shared" si="14"/>
        <v>0</v>
      </c>
      <c r="W141" s="2"/>
      <c r="X141" s="2">
        <f t="shared" si="15"/>
        <v>0</v>
      </c>
      <c r="Y141" s="2"/>
      <c r="Z141" s="19">
        <f t="shared" si="16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9" t="s">
        <v>108</v>
      </c>
      <c r="C143" s="29"/>
      <c r="D143" s="20">
        <f>D12-D93</f>
        <v>158505.0799999999</v>
      </c>
      <c r="E143" s="14"/>
      <c r="F143" s="21">
        <f>IF(D$12=0,0,D143/D$12)</f>
        <v>0.25858119041515748</v>
      </c>
      <c r="G143" s="14"/>
      <c r="H143" s="20">
        <f>H12-H93</f>
        <v>250583</v>
      </c>
      <c r="I143" s="14"/>
      <c r="J143" s="21">
        <f>IF(H$12=0,0,H143/H$12)</f>
        <v>0.48653019856671603</v>
      </c>
      <c r="K143" s="16"/>
      <c r="L143" s="20">
        <f>+D143-H143</f>
        <v>-92077.9200000001</v>
      </c>
      <c r="M143" s="16"/>
      <c r="N143" s="21">
        <f>IF(H143=0,0,L143/H143)</f>
        <v>-0.36745477546361927</v>
      </c>
      <c r="O143" s="28"/>
      <c r="P143" s="20">
        <f>P12-P93</f>
        <v>1698232.0700000012</v>
      </c>
      <c r="Q143" s="14"/>
      <c r="R143" s="21">
        <f>IF(P$12=0,0,P143/P$12)</f>
        <v>0.27025861378279198</v>
      </c>
      <c r="S143" s="14"/>
      <c r="T143" s="20">
        <f>T12-T93</f>
        <v>3539948</v>
      </c>
      <c r="U143" s="14"/>
      <c r="V143" s="21">
        <f>IF(T$12=0,0,T143/T$12)</f>
        <v>0.37054136155434547</v>
      </c>
      <c r="W143" s="16"/>
      <c r="X143" s="20">
        <f>+P143-T143</f>
        <v>-1841715.9299999988</v>
      </c>
      <c r="Y143" s="16"/>
      <c r="Z143" s="21">
        <f>IF(T143=0,0,X143/T143)</f>
        <v>-0.52026637961913536</v>
      </c>
    </row>
    <row r="144" spans="1:26" x14ac:dyDescent="0.25">
      <c r="A144" s="9"/>
      <c r="B144" s="10"/>
      <c r="C144" s="9"/>
      <c r="D144" s="1"/>
      <c r="E144" s="1"/>
      <c r="F144" s="5"/>
      <c r="G144" s="1"/>
      <c r="H144" s="1"/>
      <c r="I144" s="1"/>
      <c r="J144" s="5"/>
      <c r="K144" s="1"/>
      <c r="L144" s="1"/>
      <c r="M144" s="1"/>
      <c r="N144" s="5"/>
      <c r="O144" s="36"/>
      <c r="P144" s="1"/>
      <c r="Q144" s="1"/>
      <c r="R144" s="5"/>
      <c r="S144" s="1"/>
      <c r="T144" s="1"/>
      <c r="U144" s="1"/>
      <c r="V144" s="5"/>
      <c r="W144" s="1"/>
      <c r="X144" s="1"/>
      <c r="Y144" s="1"/>
      <c r="Z144" s="5"/>
    </row>
    <row r="145" spans="1:26" s="23" customFormat="1" x14ac:dyDescent="0.25">
      <c r="A145" s="10"/>
      <c r="B145" s="28" t="s">
        <v>295</v>
      </c>
      <c r="C145" s="10"/>
      <c r="D145" s="22">
        <f>SUM(OSRRefD22x_0)</f>
        <v>243630.8899999999</v>
      </c>
      <c r="E145" s="22"/>
      <c r="F145" s="32">
        <f t="shared" ref="F145:F156" si="17">IF(D$12=0,0,D145/D$12)</f>
        <v>0.39745329019173586</v>
      </c>
      <c r="G145" s="22"/>
      <c r="H145" s="22">
        <f>SUM(OSRRefH22x_0)</f>
        <v>339317.13977207465</v>
      </c>
      <c r="I145" s="22"/>
      <c r="J145" s="32">
        <f t="shared" ref="J145:J156" si="18">IF(H$12=0,0,H145/H$12)</f>
        <v>0.65881578315527234</v>
      </c>
      <c r="K145" s="4"/>
      <c r="L145" s="22">
        <f t="shared" ref="L145:L156" si="19">+D145-H145</f>
        <v>-95686.249772074749</v>
      </c>
      <c r="M145" s="4"/>
      <c r="N145" s="32">
        <f t="shared" ref="N145:N156" si="20">IF(H145=0,0,L145/H145)</f>
        <v>-0.28199651168917933</v>
      </c>
      <c r="O145" s="10"/>
      <c r="P145" s="22">
        <f>SUM(OSRRefP22x_0)</f>
        <v>2506813.6900000004</v>
      </c>
      <c r="Q145" s="22"/>
      <c r="R145" s="32">
        <f t="shared" ref="R145:R156" si="21">IF(P$12=0,0,P145/P$12)</f>
        <v>0.39893722703701218</v>
      </c>
      <c r="S145" s="22"/>
      <c r="T145" s="22">
        <f>SUM(OSRRefT22x_0)</f>
        <v>3532105.6773155304</v>
      </c>
      <c r="U145" s="22"/>
      <c r="V145" s="32">
        <f t="shared" ref="V145:V156" si="22">IF(T$12=0,0,T145/T$12)</f>
        <v>0.36972047239855788</v>
      </c>
      <c r="W145" s="4"/>
      <c r="X145" s="22">
        <f t="shared" ref="X145:X156" si="23">+P145-T145</f>
        <v>-1025291.98731553</v>
      </c>
      <c r="Y145" s="4"/>
      <c r="Z145" s="32">
        <f t="shared" ref="Z145:Z156" si="24">IF(T145=0,0,X145/T145)</f>
        <v>-0.29027783452242911</v>
      </c>
    </row>
    <row r="146" spans="1:26" s="25" customFormat="1" outlineLevel="1" collapsed="1" x14ac:dyDescent="0.25">
      <c r="A146" s="27"/>
      <c r="B146" s="13" t="str">
        <f>CONCATENATE("     ","*Benefits                                         ")</f>
        <v xml:space="preserve">     *Benefits                                         </v>
      </c>
      <c r="C146" s="13"/>
      <c r="D146" s="1">
        <f>SUM(OSRRefD22_0x_0)</f>
        <v>48548.210000000006</v>
      </c>
      <c r="E146" s="1"/>
      <c r="F146" s="5">
        <f t="shared" si="17"/>
        <v>7.9200325531049623E-2</v>
      </c>
      <c r="G146" s="1"/>
      <c r="H146" s="1">
        <f>SUM(OSRRefH22_0x_0)</f>
        <v>43872.936828382357</v>
      </c>
      <c r="I146" s="1"/>
      <c r="J146" s="5">
        <f t="shared" si="18"/>
        <v>8.5183387008766986E-2</v>
      </c>
      <c r="K146" s="1"/>
      <c r="L146" s="1">
        <f t="shared" si="19"/>
        <v>4675.2731716176495</v>
      </c>
      <c r="M146" s="1"/>
      <c r="N146" s="5">
        <f t="shared" si="20"/>
        <v>0.10656394373383077</v>
      </c>
      <c r="O146" s="13"/>
      <c r="P146" s="1">
        <f>SUM(OSRRefP22_0x_0)</f>
        <v>436475.83</v>
      </c>
      <c r="Q146" s="1"/>
      <c r="R146" s="5">
        <f t="shared" si="21"/>
        <v>6.9461267896968562E-2</v>
      </c>
      <c r="S146" s="1"/>
      <c r="T146" s="1">
        <f>SUM(OSRRefT22_0x_0)</f>
        <v>430079.54286953004</v>
      </c>
      <c r="U146" s="1"/>
      <c r="V146" s="5">
        <f t="shared" si="22"/>
        <v>4.5018248683750761E-2</v>
      </c>
      <c r="W146" s="1"/>
      <c r="X146" s="1">
        <f t="shared" si="23"/>
        <v>6396.2871304699802</v>
      </c>
      <c r="Y146" s="1"/>
      <c r="Z146" s="5">
        <f t="shared" si="24"/>
        <v>1.4872335214535822E-2</v>
      </c>
    </row>
    <row r="147" spans="1:26" s="24" customFormat="1" hidden="1" outlineLevel="2" x14ac:dyDescent="0.25">
      <c r="A147" s="26"/>
      <c r="B147" s="11" t="str">
        <f>CONCATENATE("          ", "6111", " - ", "F.I.C.A.")</f>
        <v xml:space="preserve">          6111 - F.I.C.A.</v>
      </c>
      <c r="C147" s="11"/>
      <c r="D147" s="7">
        <v>7927.26</v>
      </c>
      <c r="E147" s="2"/>
      <c r="F147" s="6">
        <f t="shared" si="17"/>
        <v>1.2932332058571642E-2</v>
      </c>
      <c r="G147" s="2"/>
      <c r="H147" s="7">
        <v>6894.32893440923</v>
      </c>
      <c r="I147" s="2"/>
      <c r="J147" s="6">
        <f t="shared" si="18"/>
        <v>1.3385980794556608E-2</v>
      </c>
      <c r="K147" s="2"/>
      <c r="L147" s="7">
        <f t="shared" si="19"/>
        <v>1032.9310655907702</v>
      </c>
      <c r="M147" s="2"/>
      <c r="N147" s="6">
        <f t="shared" si="20"/>
        <v>0.14982329323387314</v>
      </c>
      <c r="O147" s="11"/>
      <c r="P147" s="7">
        <v>83205.94</v>
      </c>
      <c r="Q147" s="2"/>
      <c r="R147" s="6">
        <f t="shared" si="21"/>
        <v>1.3241489429000211E-2</v>
      </c>
      <c r="S147" s="2"/>
      <c r="T147" s="7">
        <v>78405.346489454998</v>
      </c>
      <c r="U147" s="2"/>
      <c r="V147" s="6">
        <f t="shared" si="22"/>
        <v>8.207019945305094E-3</v>
      </c>
      <c r="W147" s="2"/>
      <c r="X147" s="7">
        <f t="shared" si="23"/>
        <v>4800.5935105450044</v>
      </c>
      <c r="Y147" s="2"/>
      <c r="Z147" s="6">
        <f t="shared" si="24"/>
        <v>6.1227884646752405E-2</v>
      </c>
    </row>
    <row r="148" spans="1:26" s="24" customFormat="1" hidden="1" outlineLevel="2" x14ac:dyDescent="0.25">
      <c r="A148" s="26"/>
      <c r="B148" s="11" t="str">
        <f>CONCATENATE("          ", "6112", " - ", "COMPENSATION INSURANCE")</f>
        <v xml:space="preserve">          6112 - COMPENSATION INSURANCE</v>
      </c>
      <c r="C148" s="11"/>
      <c r="D148" s="7">
        <v>1901.46</v>
      </c>
      <c r="E148" s="2"/>
      <c r="F148" s="6">
        <f t="shared" si="17"/>
        <v>3.1019938939925817E-3</v>
      </c>
      <c r="G148" s="2"/>
      <c r="H148" s="7">
        <v>2991.7477809807701</v>
      </c>
      <c r="I148" s="2"/>
      <c r="J148" s="6">
        <f t="shared" si="18"/>
        <v>5.8087565474996558E-3</v>
      </c>
      <c r="K148" s="2"/>
      <c r="L148" s="7">
        <f t="shared" si="19"/>
        <v>-1090.2877809807701</v>
      </c>
      <c r="M148" s="2"/>
      <c r="N148" s="6">
        <f t="shared" si="20"/>
        <v>-0.36443171710930339</v>
      </c>
      <c r="O148" s="11"/>
      <c r="P148" s="7">
        <v>21337.55</v>
      </c>
      <c r="Q148" s="2"/>
      <c r="R148" s="6">
        <f t="shared" si="21"/>
        <v>3.3956823607276527E-3</v>
      </c>
      <c r="S148" s="2"/>
      <c r="T148" s="7">
        <v>31214.445850125001</v>
      </c>
      <c r="U148" s="2"/>
      <c r="V148" s="6">
        <f t="shared" si="22"/>
        <v>3.2673483524248677E-3</v>
      </c>
      <c r="W148" s="2"/>
      <c r="X148" s="7">
        <f t="shared" si="23"/>
        <v>-9876.8958501250017</v>
      </c>
      <c r="Y148" s="2"/>
      <c r="Z148" s="6">
        <f t="shared" si="24"/>
        <v>-0.3164206693768824</v>
      </c>
    </row>
    <row r="149" spans="1:26" s="24" customFormat="1" hidden="1" outlineLevel="2" x14ac:dyDescent="0.25">
      <c r="A149" s="26"/>
      <c r="B149" s="11" t="str">
        <f>CONCATENATE("          ", "6113", " - ", "GROUP INSURANCE")</f>
        <v xml:space="preserve">          6113 - GROUP INSURANCE</v>
      </c>
      <c r="C149" s="11"/>
      <c r="D149" s="7">
        <v>19334.150000000001</v>
      </c>
      <c r="E149" s="2"/>
      <c r="F149" s="6">
        <f t="shared" si="17"/>
        <v>3.1541244751683802E-2</v>
      </c>
      <c r="G149" s="2"/>
      <c r="H149" s="7">
        <v>18233.8461538462</v>
      </c>
      <c r="I149" s="2"/>
      <c r="J149" s="6">
        <f t="shared" si="18"/>
        <v>3.5402708044303656E-2</v>
      </c>
      <c r="K149" s="2"/>
      <c r="L149" s="7">
        <f t="shared" si="19"/>
        <v>1100.3038461538017</v>
      </c>
      <c r="M149" s="2"/>
      <c r="N149" s="6">
        <f t="shared" si="20"/>
        <v>6.0344034762062883E-2</v>
      </c>
      <c r="O149" s="11"/>
      <c r="P149" s="7">
        <v>155962.42000000001</v>
      </c>
      <c r="Q149" s="2"/>
      <c r="R149" s="6">
        <f t="shared" si="21"/>
        <v>2.4820039720136459E-2</v>
      </c>
      <c r="S149" s="2"/>
      <c r="T149" s="7">
        <v>166905</v>
      </c>
      <c r="U149" s="2"/>
      <c r="V149" s="6">
        <f t="shared" si="22"/>
        <v>1.7470653792154015E-2</v>
      </c>
      <c r="W149" s="2"/>
      <c r="X149" s="7">
        <f t="shared" si="23"/>
        <v>-10942.579999999987</v>
      </c>
      <c r="Y149" s="2"/>
      <c r="Z149" s="6">
        <f t="shared" si="24"/>
        <v>-6.5561726730774914E-2</v>
      </c>
    </row>
    <row r="150" spans="1:26" s="24" customFormat="1" hidden="1" outlineLevel="2" x14ac:dyDescent="0.25">
      <c r="A150" s="26"/>
      <c r="B150" s="11" t="str">
        <f>CONCATENATE("          ", "6114", " - ", "STATE UNEMPLOYMENT INSURANCE")</f>
        <v xml:space="preserve">          6114 - STATE UNEMPLOYMENT INSURANCE</v>
      </c>
      <c r="C150" s="11"/>
      <c r="D150" s="7">
        <v>331.72</v>
      </c>
      <c r="E150" s="2"/>
      <c r="F150" s="6">
        <f t="shared" si="17"/>
        <v>5.4115964286139036E-4</v>
      </c>
      <c r="G150" s="2"/>
      <c r="H150" s="7">
        <v>425.13436230000002</v>
      </c>
      <c r="I150" s="2"/>
      <c r="J150" s="6">
        <f t="shared" si="18"/>
        <v>8.2543790164278186E-4</v>
      </c>
      <c r="K150" s="2"/>
      <c r="L150" s="7">
        <f t="shared" si="19"/>
        <v>-93.414362299999993</v>
      </c>
      <c r="M150" s="2"/>
      <c r="N150" s="6">
        <f t="shared" si="20"/>
        <v>-0.21972903294530985</v>
      </c>
      <c r="O150" s="11"/>
      <c r="P150" s="7">
        <v>3442</v>
      </c>
      <c r="Q150" s="2"/>
      <c r="R150" s="6">
        <f t="shared" si="21"/>
        <v>5.4776385693880414E-4</v>
      </c>
      <c r="S150" s="2"/>
      <c r="T150" s="7">
        <v>4422.8407164500004</v>
      </c>
      <c r="U150" s="2"/>
      <c r="V150" s="6">
        <f t="shared" si="22"/>
        <v>4.629574844069404E-4</v>
      </c>
      <c r="W150" s="2"/>
      <c r="X150" s="7">
        <f t="shared" si="23"/>
        <v>-980.8407164500004</v>
      </c>
      <c r="Y150" s="2"/>
      <c r="Z150" s="6">
        <f t="shared" si="24"/>
        <v>-0.22176713549776525</v>
      </c>
    </row>
    <row r="151" spans="1:26" s="24" customFormat="1" hidden="1" outlineLevel="2" x14ac:dyDescent="0.25">
      <c r="A151" s="26"/>
      <c r="B151" s="11" t="str">
        <f>CONCATENATE("          ", "6115", " - ", "P.E.R.S.")</f>
        <v xml:space="preserve">          6115 - P.E.R.S.</v>
      </c>
      <c r="C151" s="11"/>
      <c r="D151" s="7">
        <v>6531.85</v>
      </c>
      <c r="E151" s="2"/>
      <c r="F151" s="6">
        <f t="shared" si="17"/>
        <v>1.0655895373279189E-2</v>
      </c>
      <c r="G151" s="2"/>
      <c r="H151" s="7">
        <v>4936.0490141538503</v>
      </c>
      <c r="I151" s="2"/>
      <c r="J151" s="6">
        <f t="shared" si="18"/>
        <v>9.5837982105382875E-3</v>
      </c>
      <c r="K151" s="2"/>
      <c r="L151" s="7">
        <f t="shared" si="19"/>
        <v>1595.8009858461501</v>
      </c>
      <c r="M151" s="2"/>
      <c r="N151" s="6">
        <f t="shared" si="20"/>
        <v>0.32329520660558236</v>
      </c>
      <c r="O151" s="11"/>
      <c r="P151" s="7">
        <v>63936.34</v>
      </c>
      <c r="Q151" s="2"/>
      <c r="R151" s="6">
        <f t="shared" si="21"/>
        <v>1.0174903020613231E-2</v>
      </c>
      <c r="S151" s="2"/>
      <c r="T151" s="7">
        <v>47820.877145999999</v>
      </c>
      <c r="U151" s="2"/>
      <c r="V151" s="6">
        <f t="shared" si="22"/>
        <v>5.005613904046591E-3</v>
      </c>
      <c r="W151" s="2"/>
      <c r="X151" s="7">
        <f t="shared" si="23"/>
        <v>16115.462853999998</v>
      </c>
      <c r="Y151" s="2"/>
      <c r="Z151" s="6">
        <f t="shared" si="24"/>
        <v>0.33699638768227785</v>
      </c>
    </row>
    <row r="152" spans="1:26" s="24" customFormat="1" hidden="1" outlineLevel="2" x14ac:dyDescent="0.25">
      <c r="A152" s="26"/>
      <c r="B152" s="11" t="str">
        <f>CONCATENATE("          ", "6116", " - ", "EDUCATIONAL BENEFITS")</f>
        <v xml:space="preserve">          6116 - EDUCATIONAL BENEFITS</v>
      </c>
      <c r="C152" s="11"/>
      <c r="D152" s="7"/>
      <c r="E152" s="2"/>
      <c r="F152" s="6">
        <f t="shared" si="17"/>
        <v>0</v>
      </c>
      <c r="G152" s="2"/>
      <c r="H152" s="7">
        <v>0</v>
      </c>
      <c r="I152" s="2"/>
      <c r="J152" s="6">
        <f t="shared" si="18"/>
        <v>0</v>
      </c>
      <c r="K152" s="2"/>
      <c r="L152" s="7">
        <f t="shared" si="19"/>
        <v>0</v>
      </c>
      <c r="M152" s="2"/>
      <c r="N152" s="6">
        <f t="shared" si="20"/>
        <v>0</v>
      </c>
      <c r="O152" s="11"/>
      <c r="P152" s="7">
        <v>0</v>
      </c>
      <c r="Q152" s="2"/>
      <c r="R152" s="6">
        <f t="shared" si="21"/>
        <v>0</v>
      </c>
      <c r="S152" s="2"/>
      <c r="T152" s="7">
        <v>0</v>
      </c>
      <c r="U152" s="2"/>
      <c r="V152" s="6">
        <f t="shared" si="22"/>
        <v>0</v>
      </c>
      <c r="W152" s="2"/>
      <c r="X152" s="7">
        <f t="shared" si="23"/>
        <v>0</v>
      </c>
      <c r="Y152" s="2"/>
      <c r="Z152" s="6">
        <f t="shared" si="24"/>
        <v>0</v>
      </c>
    </row>
    <row r="153" spans="1:26" s="24" customFormat="1" hidden="1" outlineLevel="2" x14ac:dyDescent="0.25">
      <c r="A153" s="26"/>
      <c r="B153" s="11" t="str">
        <f>CONCATENATE("          ", "6117", " - ", "RETIREMENT STAFF HOURLY")</f>
        <v xml:space="preserve">          6117 - RETIREMENT STAFF HOURLY</v>
      </c>
      <c r="C153" s="11"/>
      <c r="D153" s="7">
        <v>914.84</v>
      </c>
      <c r="E153" s="2"/>
      <c r="F153" s="6">
        <f t="shared" si="17"/>
        <v>1.4924469060512309E-3</v>
      </c>
      <c r="G153" s="2"/>
      <c r="H153" s="7"/>
      <c r="I153" s="2"/>
      <c r="J153" s="6">
        <f t="shared" si="18"/>
        <v>0</v>
      </c>
      <c r="K153" s="2"/>
      <c r="L153" s="7">
        <f t="shared" si="19"/>
        <v>914.84</v>
      </c>
      <c r="M153" s="2"/>
      <c r="N153" s="6">
        <f t="shared" si="20"/>
        <v>0</v>
      </c>
      <c r="O153" s="11"/>
      <c r="P153" s="7">
        <v>5122.3</v>
      </c>
      <c r="Q153" s="2"/>
      <c r="R153" s="6">
        <f t="shared" si="21"/>
        <v>8.1516874038281128E-4</v>
      </c>
      <c r="S153" s="2"/>
      <c r="T153" s="7"/>
      <c r="U153" s="2"/>
      <c r="V153" s="6">
        <f t="shared" si="22"/>
        <v>0</v>
      </c>
      <c r="W153" s="2"/>
      <c r="X153" s="7">
        <f t="shared" si="23"/>
        <v>5122.3</v>
      </c>
      <c r="Y153" s="2"/>
      <c r="Z153" s="6">
        <f t="shared" si="24"/>
        <v>0</v>
      </c>
    </row>
    <row r="154" spans="1:26" s="24" customFormat="1" hidden="1" outlineLevel="2" x14ac:dyDescent="0.25">
      <c r="A154" s="26"/>
      <c r="B154" s="11" t="str">
        <f>CONCATENATE("          ", "6118", " - ", "VACATION")</f>
        <v xml:space="preserve">          6118 - VACATION</v>
      </c>
      <c r="C154" s="11"/>
      <c r="D154" s="7">
        <v>5722.61</v>
      </c>
      <c r="E154" s="2"/>
      <c r="F154" s="6">
        <f t="shared" si="17"/>
        <v>9.3357216442632972E-3</v>
      </c>
      <c r="G154" s="2"/>
      <c r="H154" s="7">
        <v>4173.5870123076902</v>
      </c>
      <c r="I154" s="2"/>
      <c r="J154" s="6">
        <f t="shared" si="18"/>
        <v>8.103407325451159E-3</v>
      </c>
      <c r="K154" s="2"/>
      <c r="L154" s="7">
        <f t="shared" si="19"/>
        <v>1549.0229876923095</v>
      </c>
      <c r="M154" s="2"/>
      <c r="N154" s="6">
        <f t="shared" si="20"/>
        <v>0.37114908186275297</v>
      </c>
      <c r="O154" s="11"/>
      <c r="P154" s="7">
        <v>51436.7</v>
      </c>
      <c r="Q154" s="2"/>
      <c r="R154" s="6">
        <f t="shared" si="21"/>
        <v>8.1856958687403208E-3</v>
      </c>
      <c r="S154" s="2"/>
      <c r="T154" s="7">
        <v>40477.358520000002</v>
      </c>
      <c r="U154" s="2"/>
      <c r="V154" s="6">
        <f t="shared" si="22"/>
        <v>4.2369366832857953E-3</v>
      </c>
      <c r="W154" s="2"/>
      <c r="X154" s="7">
        <f t="shared" si="23"/>
        <v>10959.341479999995</v>
      </c>
      <c r="Y154" s="2"/>
      <c r="Z154" s="6">
        <f t="shared" si="24"/>
        <v>0.27075238801921692</v>
      </c>
    </row>
    <row r="155" spans="1:26" s="24" customFormat="1" hidden="1" outlineLevel="2" x14ac:dyDescent="0.25">
      <c r="A155" s="26"/>
      <c r="B155" s="11" t="str">
        <f>CONCATENATE("          ", "6119", " - ", "SICK LEAVE")</f>
        <v xml:space="preserve">          6119 - SICK LEAVE</v>
      </c>
      <c r="C155" s="11"/>
      <c r="D155" s="7">
        <v>4091.66</v>
      </c>
      <c r="E155" s="2"/>
      <c r="F155" s="6">
        <f t="shared" si="17"/>
        <v>6.6750309426933446E-3</v>
      </c>
      <c r="G155" s="2"/>
      <c r="H155" s="7">
        <v>4418.2435703846104</v>
      </c>
      <c r="I155" s="2"/>
      <c r="J155" s="6">
        <f t="shared" si="18"/>
        <v>8.5784307858687188E-3</v>
      </c>
      <c r="K155" s="2"/>
      <c r="L155" s="7">
        <f t="shared" si="19"/>
        <v>-326.58357038461054</v>
      </c>
      <c r="M155" s="2"/>
      <c r="N155" s="6">
        <f t="shared" si="20"/>
        <v>-7.3917058935748362E-2</v>
      </c>
      <c r="O155" s="11"/>
      <c r="P155" s="7">
        <v>37455.69</v>
      </c>
      <c r="Q155" s="2"/>
      <c r="R155" s="6">
        <f t="shared" si="21"/>
        <v>5.9607417834701328E-3</v>
      </c>
      <c r="S155" s="2"/>
      <c r="T155" s="7">
        <v>44633.674147500002</v>
      </c>
      <c r="U155" s="2"/>
      <c r="V155" s="6">
        <f t="shared" si="22"/>
        <v>4.6719958569413E-3</v>
      </c>
      <c r="W155" s="2"/>
      <c r="X155" s="7">
        <f t="shared" si="23"/>
        <v>-7177.9841474999994</v>
      </c>
      <c r="Y155" s="2"/>
      <c r="Z155" s="6">
        <f t="shared" si="24"/>
        <v>-0.1608199254172771</v>
      </c>
    </row>
    <row r="156" spans="1:26" s="24" customFormat="1" hidden="1" outlineLevel="2" x14ac:dyDescent="0.25">
      <c r="A156" s="26"/>
      <c r="B156" s="11" t="str">
        <f>CONCATENATE("          ", "6156", " - ", "EMPLOYEE MEALS")</f>
        <v xml:space="preserve">          6156 - EMPLOYEE MEALS</v>
      </c>
      <c r="C156" s="11"/>
      <c r="D156" s="7">
        <v>1792.66</v>
      </c>
      <c r="E156" s="2"/>
      <c r="F156" s="6">
        <f t="shared" si="17"/>
        <v>2.9245003176531412E-3</v>
      </c>
      <c r="G156" s="2"/>
      <c r="H156" s="7">
        <v>1800</v>
      </c>
      <c r="I156" s="2"/>
      <c r="J156" s="6">
        <f t="shared" si="18"/>
        <v>3.4948673989061065E-3</v>
      </c>
      <c r="K156" s="2"/>
      <c r="L156" s="7">
        <f t="shared" si="19"/>
        <v>-7.3399999999999181</v>
      </c>
      <c r="M156" s="2"/>
      <c r="N156" s="6">
        <f t="shared" si="20"/>
        <v>-4.0777777777777323E-3</v>
      </c>
      <c r="O156" s="11"/>
      <c r="P156" s="7">
        <v>14576.89</v>
      </c>
      <c r="Q156" s="2"/>
      <c r="R156" s="6">
        <f t="shared" si="21"/>
        <v>2.319783116958944E-3</v>
      </c>
      <c r="S156" s="2"/>
      <c r="T156" s="7">
        <v>16200</v>
      </c>
      <c r="U156" s="2"/>
      <c r="V156" s="6">
        <f t="shared" si="22"/>
        <v>1.6957226651861542E-3</v>
      </c>
      <c r="W156" s="2"/>
      <c r="X156" s="7">
        <f t="shared" si="23"/>
        <v>-1623.1100000000006</v>
      </c>
      <c r="Y156" s="2"/>
      <c r="Z156" s="6">
        <f t="shared" si="24"/>
        <v>-0.10019197530864202</v>
      </c>
    </row>
    <row r="157" spans="1:26" s="25" customFormat="1" outlineLevel="1" collapsed="1" x14ac:dyDescent="0.25">
      <c r="A157" s="27"/>
      <c r="B157" s="13" t="str">
        <f>CONCATENATE("     ","*Payroll                                          ")</f>
        <v xml:space="preserve">     *Payroll                                          </v>
      </c>
      <c r="C157" s="13"/>
      <c r="D157" s="1">
        <f>SUM(OSRRefD22_1x_0)</f>
        <v>124811.92</v>
      </c>
      <c r="E157" s="1"/>
      <c r="F157" s="5">
        <f t="shared" ref="F157:F167" si="25">IF(D$12=0,0,D157/D$12)</f>
        <v>0.20361501884735445</v>
      </c>
      <c r="G157" s="1"/>
      <c r="H157" s="1">
        <f>SUM(OSRRefH22_1x_0)</f>
        <v>151514.2029436923</v>
      </c>
      <c r="I157" s="1"/>
      <c r="J157" s="5">
        <f t="shared" ref="J157:J167" si="26">IF(H$12=0,0,H157/H$12)</f>
        <v>0.29417891574397437</v>
      </c>
      <c r="K157" s="1"/>
      <c r="L157" s="1">
        <f t="shared" ref="L157:L167" si="27">+D157-H157</f>
        <v>-26702.282943692306</v>
      </c>
      <c r="M157" s="1"/>
      <c r="N157" s="5">
        <f t="shared" ref="N157:N167" si="28">IF(H157=0,0,L157/H157)</f>
        <v>-0.17623617076754025</v>
      </c>
      <c r="O157" s="13"/>
      <c r="P157" s="1">
        <f>SUM(OSRRefP22_1x_0)</f>
        <v>1196872.7600000002</v>
      </c>
      <c r="Q157" s="1"/>
      <c r="R157" s="5">
        <f t="shared" ref="R157:R167" si="29">IF(P$12=0,0,P157/P$12)</f>
        <v>0.19047171391127013</v>
      </c>
      <c r="S157" s="1"/>
      <c r="T157" s="1">
        <f>SUM(OSRRefT22_1x_0)</f>
        <v>1585317.134446</v>
      </c>
      <c r="U157" s="1"/>
      <c r="V157" s="5">
        <f t="shared" ref="V157:V167" si="30">IF(T$12=0,0,T157/T$12)</f>
        <v>0.16594186397457086</v>
      </c>
      <c r="W157" s="1"/>
      <c r="X157" s="1">
        <f t="shared" ref="X157:X167" si="31">+P157-T157</f>
        <v>-388444.37444599974</v>
      </c>
      <c r="Y157" s="1"/>
      <c r="Z157" s="5">
        <f t="shared" ref="Z157:Z167" si="32">IF(T157=0,0,X157/T157)</f>
        <v>-0.24502628906596932</v>
      </c>
    </row>
    <row r="158" spans="1:26" s="24" customFormat="1" hidden="1" outlineLevel="2" x14ac:dyDescent="0.25">
      <c r="A158" s="26"/>
      <c r="B158" s="11" t="str">
        <f>CONCATENATE("          ", "6001", " - ", "ADMINISTRATIVE SALARIES")</f>
        <v xml:space="preserve">          6001 - ADMINISTRATIVE SALARIES</v>
      </c>
      <c r="C158" s="11"/>
      <c r="D158" s="7">
        <v>4279.74</v>
      </c>
      <c r="E158" s="2"/>
      <c r="F158" s="6">
        <f t="shared" si="25"/>
        <v>6.981859911791892E-3</v>
      </c>
      <c r="G158" s="2"/>
      <c r="H158" s="7">
        <v>7759.6923076923104</v>
      </c>
      <c r="I158" s="2"/>
      <c r="J158" s="6">
        <f t="shared" si="26"/>
        <v>1.5066164262053526E-2</v>
      </c>
      <c r="K158" s="2"/>
      <c r="L158" s="7">
        <f t="shared" si="27"/>
        <v>-3479.9523076923106</v>
      </c>
      <c r="M158" s="2"/>
      <c r="N158" s="6">
        <f t="shared" si="28"/>
        <v>-0.44846524445854336</v>
      </c>
      <c r="O158" s="11"/>
      <c r="P158" s="7">
        <v>38776.33</v>
      </c>
      <c r="Q158" s="2"/>
      <c r="R158" s="6">
        <f t="shared" si="29"/>
        <v>6.1709099589575423E-3</v>
      </c>
      <c r="S158" s="2"/>
      <c r="T158" s="7">
        <v>75657</v>
      </c>
      <c r="U158" s="2"/>
      <c r="V158" s="6">
        <f t="shared" si="30"/>
        <v>7.919338869135116E-3</v>
      </c>
      <c r="W158" s="2"/>
      <c r="X158" s="7">
        <f t="shared" si="31"/>
        <v>-36880.67</v>
      </c>
      <c r="Y158" s="2"/>
      <c r="Z158" s="6">
        <f t="shared" si="32"/>
        <v>-0.48747201184292266</v>
      </c>
    </row>
    <row r="159" spans="1:26" s="24" customFormat="1" hidden="1" outlineLevel="2" x14ac:dyDescent="0.25">
      <c r="A159" s="26"/>
      <c r="B159" s="11" t="str">
        <f>CONCATENATE("          ", "6002", " - ", "STAFF SALARIES")</f>
        <v xml:space="preserve">          6002 - STAFF SALARIES</v>
      </c>
      <c r="C159" s="11"/>
      <c r="D159" s="7">
        <v>62207.73</v>
      </c>
      <c r="E159" s="2"/>
      <c r="F159" s="6">
        <f t="shared" si="25"/>
        <v>0.10148412200053598</v>
      </c>
      <c r="G159" s="2"/>
      <c r="H159" s="7">
        <v>43867.483055999997</v>
      </c>
      <c r="I159" s="2"/>
      <c r="J159" s="6">
        <f t="shared" si="26"/>
        <v>8.5172798002489114E-2</v>
      </c>
      <c r="K159" s="2"/>
      <c r="L159" s="7">
        <f t="shared" si="27"/>
        <v>18340.246944000006</v>
      </c>
      <c r="M159" s="2"/>
      <c r="N159" s="6">
        <f t="shared" si="28"/>
        <v>0.41808295498940207</v>
      </c>
      <c r="O159" s="11"/>
      <c r="P159" s="7">
        <v>555755.72</v>
      </c>
      <c r="Q159" s="2"/>
      <c r="R159" s="6">
        <f t="shared" si="29"/>
        <v>8.8443607409355626E-2</v>
      </c>
      <c r="S159" s="2"/>
      <c r="T159" s="7">
        <v>424509.81249600003</v>
      </c>
      <c r="U159" s="2"/>
      <c r="V159" s="6">
        <f t="shared" si="30"/>
        <v>4.443524139774023E-2</v>
      </c>
      <c r="W159" s="2"/>
      <c r="X159" s="7">
        <f t="shared" si="31"/>
        <v>131245.90750399994</v>
      </c>
      <c r="Y159" s="2"/>
      <c r="Z159" s="6">
        <f t="shared" si="32"/>
        <v>0.3091704918016156</v>
      </c>
    </row>
    <row r="160" spans="1:26" s="24" customFormat="1" hidden="1" outlineLevel="2" x14ac:dyDescent="0.25">
      <c r="A160" s="26"/>
      <c r="B160" s="11" t="str">
        <f>CONCATENATE("          ", "6003", " - ", "STAFF HOURLY-9 MONTH")</f>
        <v xml:space="preserve">          6003 - STAFF HOURLY-9 MONTH</v>
      </c>
      <c r="C160" s="11"/>
      <c r="D160" s="7"/>
      <c r="E160" s="2"/>
      <c r="F160" s="6">
        <f t="shared" si="25"/>
        <v>0</v>
      </c>
      <c r="G160" s="2"/>
      <c r="H160" s="7">
        <v>0</v>
      </c>
      <c r="I160" s="2"/>
      <c r="J160" s="6">
        <f t="shared" si="26"/>
        <v>0</v>
      </c>
      <c r="K160" s="2"/>
      <c r="L160" s="7">
        <f t="shared" si="27"/>
        <v>0</v>
      </c>
      <c r="M160" s="2"/>
      <c r="N160" s="6">
        <f t="shared" si="28"/>
        <v>0</v>
      </c>
      <c r="O160" s="11"/>
      <c r="P160" s="7"/>
      <c r="Q160" s="2"/>
      <c r="R160" s="6">
        <f t="shared" si="29"/>
        <v>0</v>
      </c>
      <c r="S160" s="2"/>
      <c r="T160" s="7">
        <v>0</v>
      </c>
      <c r="U160" s="2"/>
      <c r="V160" s="6">
        <f t="shared" si="30"/>
        <v>0</v>
      </c>
      <c r="W160" s="2"/>
      <c r="X160" s="7">
        <f t="shared" si="31"/>
        <v>0</v>
      </c>
      <c r="Y160" s="2"/>
      <c r="Z160" s="6">
        <f t="shared" si="32"/>
        <v>0</v>
      </c>
    </row>
    <row r="161" spans="1:26" s="24" customFormat="1" hidden="1" outlineLevel="2" x14ac:dyDescent="0.25">
      <c r="A161" s="26"/>
      <c r="B161" s="11" t="str">
        <f>CONCATENATE("          ", "6004", " - ", "STAFF HOURLY")</f>
        <v xml:space="preserve">          6004 - STAFF HOURLY</v>
      </c>
      <c r="C161" s="11"/>
      <c r="D161" s="7">
        <v>15435.7</v>
      </c>
      <c r="E161" s="2"/>
      <c r="F161" s="6">
        <f t="shared" si="25"/>
        <v>2.5181411730723389E-2</v>
      </c>
      <c r="G161" s="2"/>
      <c r="H161" s="7">
        <v>29739.680079999998</v>
      </c>
      <c r="I161" s="2"/>
      <c r="J161" s="6">
        <f t="shared" si="26"/>
        <v>5.7742354647494082E-2</v>
      </c>
      <c r="K161" s="2"/>
      <c r="L161" s="7">
        <f t="shared" si="27"/>
        <v>-14303.980079999998</v>
      </c>
      <c r="M161" s="2"/>
      <c r="N161" s="6">
        <f t="shared" si="28"/>
        <v>-0.48097289686782663</v>
      </c>
      <c r="O161" s="11"/>
      <c r="P161" s="7">
        <v>169228.29</v>
      </c>
      <c r="Q161" s="2"/>
      <c r="R161" s="6">
        <f t="shared" si="29"/>
        <v>2.6931185599523087E-2</v>
      </c>
      <c r="S161" s="2"/>
      <c r="T161" s="7">
        <v>277300.14078000002</v>
      </c>
      <c r="U161" s="2"/>
      <c r="V161" s="6">
        <f t="shared" si="30"/>
        <v>2.9026181097528234E-2</v>
      </c>
      <c r="W161" s="2"/>
      <c r="X161" s="7">
        <f t="shared" si="31"/>
        <v>-108071.85078000001</v>
      </c>
      <c r="Y161" s="2"/>
      <c r="Z161" s="6">
        <f t="shared" si="32"/>
        <v>-0.38972879882430472</v>
      </c>
    </row>
    <row r="162" spans="1:26" s="24" customFormat="1" hidden="1" outlineLevel="2" x14ac:dyDescent="0.25">
      <c r="A162" s="26"/>
      <c r="B162" s="11" t="str">
        <f>CONCATENATE("          ", "6005", " - ", "TEMPORARY WAGES-HOURLY")</f>
        <v xml:space="preserve">          6005 - TEMPORARY WAGES-HOURLY</v>
      </c>
      <c r="C162" s="11"/>
      <c r="D162" s="7">
        <v>13818.91</v>
      </c>
      <c r="E162" s="2"/>
      <c r="F162" s="6">
        <f t="shared" si="25"/>
        <v>2.2543821296074084E-2</v>
      </c>
      <c r="G162" s="2"/>
      <c r="H162" s="7">
        <v>5022</v>
      </c>
      <c r="I162" s="2"/>
      <c r="J162" s="6">
        <f t="shared" si="26"/>
        <v>9.7506800429480369E-3</v>
      </c>
      <c r="K162" s="2"/>
      <c r="L162" s="7">
        <f t="shared" si="27"/>
        <v>8796.91</v>
      </c>
      <c r="M162" s="2"/>
      <c r="N162" s="6">
        <f t="shared" si="28"/>
        <v>1.7516746316208682</v>
      </c>
      <c r="O162" s="11"/>
      <c r="P162" s="7">
        <v>136226.98000000001</v>
      </c>
      <c r="Q162" s="2"/>
      <c r="R162" s="6">
        <f t="shared" si="29"/>
        <v>2.1679318995910905E-2</v>
      </c>
      <c r="S162" s="2"/>
      <c r="T162" s="7">
        <v>39111.440000000002</v>
      </c>
      <c r="U162" s="2"/>
      <c r="V162" s="6">
        <f t="shared" si="30"/>
        <v>4.093960202226442E-3</v>
      </c>
      <c r="W162" s="2"/>
      <c r="X162" s="7">
        <f t="shared" si="31"/>
        <v>97115.540000000008</v>
      </c>
      <c r="Y162" s="2"/>
      <c r="Z162" s="6">
        <f t="shared" si="32"/>
        <v>2.4830469039237624</v>
      </c>
    </row>
    <row r="163" spans="1:26" s="24" customFormat="1" hidden="1" outlineLevel="2" x14ac:dyDescent="0.25">
      <c r="A163" s="26"/>
      <c r="B163" s="11" t="str">
        <f>CONCATENATE("          ", "6006", " - ", "TEMPORARY PART TIME")</f>
        <v xml:space="preserve">          6006 - TEMPORARY PART TIME</v>
      </c>
      <c r="C163" s="11"/>
      <c r="D163" s="7">
        <v>2022.89</v>
      </c>
      <c r="E163" s="2"/>
      <c r="F163" s="6">
        <f t="shared" si="25"/>
        <v>3.3000917338353972E-3</v>
      </c>
      <c r="G163" s="2"/>
      <c r="H163" s="7">
        <v>0</v>
      </c>
      <c r="I163" s="2"/>
      <c r="J163" s="6">
        <f t="shared" si="26"/>
        <v>0</v>
      </c>
      <c r="K163" s="2"/>
      <c r="L163" s="7">
        <f t="shared" si="27"/>
        <v>2022.89</v>
      </c>
      <c r="M163" s="2"/>
      <c r="N163" s="6">
        <f t="shared" si="28"/>
        <v>0</v>
      </c>
      <c r="O163" s="11"/>
      <c r="P163" s="7">
        <v>14053.29</v>
      </c>
      <c r="Q163" s="2"/>
      <c r="R163" s="6">
        <f t="shared" si="29"/>
        <v>2.2364568079835932E-3</v>
      </c>
      <c r="S163" s="2"/>
      <c r="T163" s="7">
        <v>0</v>
      </c>
      <c r="U163" s="2"/>
      <c r="V163" s="6">
        <f t="shared" si="30"/>
        <v>0</v>
      </c>
      <c r="W163" s="2"/>
      <c r="X163" s="7">
        <f t="shared" si="31"/>
        <v>14053.29</v>
      </c>
      <c r="Y163" s="2"/>
      <c r="Z163" s="6">
        <f t="shared" si="32"/>
        <v>0</v>
      </c>
    </row>
    <row r="164" spans="1:26" s="24" customFormat="1" hidden="1" outlineLevel="2" x14ac:dyDescent="0.25">
      <c r="A164" s="26"/>
      <c r="B164" s="11" t="str">
        <f>CONCATENATE("          ", "6007", " - ", "STUDENT HOURLY")</f>
        <v xml:space="preserve">          6007 - STUDENT HOURLY</v>
      </c>
      <c r="C164" s="11"/>
      <c r="D164" s="7">
        <v>25934.58</v>
      </c>
      <c r="E164" s="2"/>
      <c r="F164" s="6">
        <f t="shared" si="25"/>
        <v>4.230901980754901E-2</v>
      </c>
      <c r="G164" s="2"/>
      <c r="H164" s="7">
        <v>0</v>
      </c>
      <c r="I164" s="2"/>
      <c r="J164" s="6">
        <f t="shared" si="26"/>
        <v>0</v>
      </c>
      <c r="K164" s="2"/>
      <c r="L164" s="7">
        <f t="shared" si="27"/>
        <v>25934.58</v>
      </c>
      <c r="M164" s="2"/>
      <c r="N164" s="6">
        <f t="shared" si="28"/>
        <v>0</v>
      </c>
      <c r="O164" s="11"/>
      <c r="P164" s="7">
        <v>274420.53000000003</v>
      </c>
      <c r="Q164" s="2"/>
      <c r="R164" s="6">
        <f t="shared" si="29"/>
        <v>4.3671600213826503E-2</v>
      </c>
      <c r="S164" s="2"/>
      <c r="T164" s="7">
        <v>157314.8425</v>
      </c>
      <c r="U164" s="2"/>
      <c r="V164" s="6">
        <f t="shared" si="30"/>
        <v>1.6466811357866672E-2</v>
      </c>
      <c r="W164" s="2"/>
      <c r="X164" s="7">
        <f t="shared" si="31"/>
        <v>117105.68750000003</v>
      </c>
      <c r="Y164" s="2"/>
      <c r="Z164" s="6">
        <f t="shared" si="32"/>
        <v>0.7444032974828807</v>
      </c>
    </row>
    <row r="165" spans="1:26" s="24" customFormat="1" hidden="1" outlineLevel="2" x14ac:dyDescent="0.25">
      <c r="A165" s="26"/>
      <c r="B165" s="11" t="str">
        <f>CONCATENATE("          ", "6008", " - ", "STUDENT HOURLY-FICA EXEMPT")</f>
        <v xml:space="preserve">          6008 - STUDENT HOURLY-FICA EXEMPT</v>
      </c>
      <c r="C165" s="11"/>
      <c r="D165" s="7">
        <v>1112.3699999999999</v>
      </c>
      <c r="E165" s="2"/>
      <c r="F165" s="6">
        <f t="shared" si="25"/>
        <v>1.8146923668447023E-3</v>
      </c>
      <c r="G165" s="2"/>
      <c r="H165" s="7">
        <v>65125.347500000003</v>
      </c>
      <c r="I165" s="2"/>
      <c r="J165" s="6">
        <f t="shared" si="26"/>
        <v>0.12644691878898962</v>
      </c>
      <c r="K165" s="2"/>
      <c r="L165" s="7">
        <f t="shared" si="27"/>
        <v>-64012.977500000001</v>
      </c>
      <c r="M165" s="2"/>
      <c r="N165" s="6">
        <f t="shared" si="28"/>
        <v>-0.98291955371140238</v>
      </c>
      <c r="O165" s="11"/>
      <c r="P165" s="7">
        <v>8411.6200000000008</v>
      </c>
      <c r="Q165" s="2"/>
      <c r="R165" s="6">
        <f t="shared" si="29"/>
        <v>1.3386349257128367E-3</v>
      </c>
      <c r="S165" s="2"/>
      <c r="T165" s="7">
        <v>611423.89867000002</v>
      </c>
      <c r="U165" s="2"/>
      <c r="V165" s="6">
        <f t="shared" si="30"/>
        <v>6.4000331050074175E-2</v>
      </c>
      <c r="W165" s="2"/>
      <c r="X165" s="7">
        <f t="shared" si="31"/>
        <v>-603012.27867000003</v>
      </c>
      <c r="Y165" s="2"/>
      <c r="Z165" s="6">
        <f t="shared" si="32"/>
        <v>-0.98624257243084978</v>
      </c>
    </row>
    <row r="166" spans="1:26" s="24" customFormat="1" hidden="1" outlineLevel="2" x14ac:dyDescent="0.25">
      <c r="A166" s="26"/>
      <c r="B166" s="11" t="str">
        <f>CONCATENATE("          ", "6009", " - ", "TEMPORARY-SEASONAL")</f>
        <v xml:space="preserve">          6009 - TEMPORARY-SEASONAL</v>
      </c>
      <c r="C166" s="11"/>
      <c r="D166" s="7"/>
      <c r="E166" s="2"/>
      <c r="F166" s="6">
        <f t="shared" si="25"/>
        <v>0</v>
      </c>
      <c r="G166" s="2"/>
      <c r="H166" s="7">
        <v>0</v>
      </c>
      <c r="I166" s="2"/>
      <c r="J166" s="6">
        <f t="shared" si="26"/>
        <v>0</v>
      </c>
      <c r="K166" s="2"/>
      <c r="L166" s="7">
        <f t="shared" si="27"/>
        <v>0</v>
      </c>
      <c r="M166" s="2"/>
      <c r="N166" s="6">
        <f t="shared" si="28"/>
        <v>0</v>
      </c>
      <c r="O166" s="11"/>
      <c r="P166" s="7"/>
      <c r="Q166" s="2"/>
      <c r="R166" s="6">
        <f t="shared" si="29"/>
        <v>0</v>
      </c>
      <c r="S166" s="2"/>
      <c r="T166" s="7">
        <v>0</v>
      </c>
      <c r="U166" s="2"/>
      <c r="V166" s="6">
        <f t="shared" si="30"/>
        <v>0</v>
      </c>
      <c r="W166" s="2"/>
      <c r="X166" s="7">
        <f t="shared" si="31"/>
        <v>0</v>
      </c>
      <c r="Y166" s="2"/>
      <c r="Z166" s="6">
        <f t="shared" si="32"/>
        <v>0</v>
      </c>
    </row>
    <row r="167" spans="1:26" s="24" customFormat="1" hidden="1" outlineLevel="2" x14ac:dyDescent="0.25">
      <c r="A167" s="26"/>
      <c r="B167" s="11" t="str">
        <f>CONCATENATE("          ", "6010", " - ", "GRATUITY")</f>
        <v xml:space="preserve">          6010 - GRATUITY</v>
      </c>
      <c r="C167" s="11"/>
      <c r="D167" s="7"/>
      <c r="E167" s="2"/>
      <c r="F167" s="6">
        <f t="shared" si="25"/>
        <v>0</v>
      </c>
      <c r="G167" s="2"/>
      <c r="H167" s="7">
        <v>0</v>
      </c>
      <c r="I167" s="2"/>
      <c r="J167" s="6">
        <f t="shared" si="26"/>
        <v>0</v>
      </c>
      <c r="K167" s="2"/>
      <c r="L167" s="7">
        <f t="shared" si="27"/>
        <v>0</v>
      </c>
      <c r="M167" s="2"/>
      <c r="N167" s="6">
        <f t="shared" si="28"/>
        <v>0</v>
      </c>
      <c r="O167" s="11"/>
      <c r="P167" s="7"/>
      <c r="Q167" s="2"/>
      <c r="R167" s="6">
        <f t="shared" si="29"/>
        <v>0</v>
      </c>
      <c r="S167" s="2"/>
      <c r="T167" s="7">
        <v>0</v>
      </c>
      <c r="U167" s="2"/>
      <c r="V167" s="6">
        <f t="shared" si="30"/>
        <v>0</v>
      </c>
      <c r="W167" s="2"/>
      <c r="X167" s="7">
        <f t="shared" si="31"/>
        <v>0</v>
      </c>
      <c r="Y167" s="2"/>
      <c r="Z167" s="6">
        <f t="shared" si="32"/>
        <v>0</v>
      </c>
    </row>
    <row r="168" spans="1:26" s="25" customFormat="1" outlineLevel="1" collapsed="1" x14ac:dyDescent="0.25">
      <c r="A168" s="27"/>
      <c r="B168" s="13" t="str">
        <f>CONCATENATE("     ","Advertising/Promo                                 ")</f>
        <v xml:space="preserve">     Advertising/Promo                                 </v>
      </c>
      <c r="C168" s="13"/>
      <c r="D168" s="1">
        <f>SUM(OSRRefD22_2x_0)</f>
        <v>73.430000000000007</v>
      </c>
      <c r="E168" s="1"/>
      <c r="F168" s="5">
        <f t="shared" ref="F168:F172" si="33">IF(D$12=0,0,D168/D$12)</f>
        <v>1.1979185028129716E-4</v>
      </c>
      <c r="G168" s="1"/>
      <c r="H168" s="1">
        <f>SUM(OSRRefH22_2x_0)</f>
        <v>2580</v>
      </c>
      <c r="I168" s="1"/>
      <c r="J168" s="5">
        <f t="shared" ref="J168:J172" si="34">IF(H$12=0,0,H168/H$12)</f>
        <v>5.0093099384320864E-3</v>
      </c>
      <c r="K168" s="1"/>
      <c r="L168" s="1">
        <f t="shared" ref="L168:L172" si="35">+D168-H168</f>
        <v>-2506.5700000000002</v>
      </c>
      <c r="M168" s="1"/>
      <c r="N168" s="5">
        <f t="shared" ref="N168:N172" si="36">IF(H168=0,0,L168/H168)</f>
        <v>-0.97153875968992254</v>
      </c>
      <c r="O168" s="13"/>
      <c r="P168" s="1">
        <f>SUM(OSRRefP22_2x_0)</f>
        <v>16821.150000000001</v>
      </c>
      <c r="Q168" s="1"/>
      <c r="R168" s="5">
        <f t="shared" ref="R168:R172" si="37">IF(P$12=0,0,P168/P$12)</f>
        <v>2.676937246410856E-3</v>
      </c>
      <c r="S168" s="1"/>
      <c r="T168" s="1">
        <f>SUM(OSRRefT22_2x_0)</f>
        <v>13520</v>
      </c>
      <c r="U168" s="1"/>
      <c r="V168" s="5">
        <f t="shared" ref="V168:V172" si="38">IF(T$12=0,0,T168/T$12)</f>
        <v>1.4151957057602967E-3</v>
      </c>
      <c r="W168" s="1"/>
      <c r="X168" s="1">
        <f t="shared" ref="X168:X172" si="39">+P168-T168</f>
        <v>3301.1500000000015</v>
      </c>
      <c r="Y168" s="1"/>
      <c r="Z168" s="5">
        <f t="shared" ref="Z168:Z172" si="40">IF(T168=0,0,X168/T168)</f>
        <v>0.24416789940828412</v>
      </c>
    </row>
    <row r="169" spans="1:26" s="24" customFormat="1" hidden="1" outlineLevel="2" x14ac:dyDescent="0.25">
      <c r="A169" s="26"/>
      <c r="B169" s="11" t="str">
        <f>CONCATENATE("          ", "6362", " - ", "ADVERTISING EXPENSE")</f>
        <v xml:space="preserve">          6362 - ADVERTISING EXPENSE</v>
      </c>
      <c r="C169" s="11"/>
      <c r="D169" s="7">
        <v>73.430000000000007</v>
      </c>
      <c r="E169" s="2"/>
      <c r="F169" s="6">
        <f t="shared" si="33"/>
        <v>1.1979185028129716E-4</v>
      </c>
      <c r="G169" s="2"/>
      <c r="H169" s="7">
        <v>2580</v>
      </c>
      <c r="I169" s="2"/>
      <c r="J169" s="6">
        <f t="shared" si="34"/>
        <v>5.0093099384320864E-3</v>
      </c>
      <c r="K169" s="2"/>
      <c r="L169" s="7">
        <f t="shared" si="35"/>
        <v>-2506.5700000000002</v>
      </c>
      <c r="M169" s="2"/>
      <c r="N169" s="6">
        <f t="shared" si="36"/>
        <v>-0.97153875968992254</v>
      </c>
      <c r="O169" s="11"/>
      <c r="P169" s="7">
        <v>16821.150000000001</v>
      </c>
      <c r="Q169" s="2"/>
      <c r="R169" s="6">
        <f t="shared" si="37"/>
        <v>2.676937246410856E-3</v>
      </c>
      <c r="S169" s="2"/>
      <c r="T169" s="7">
        <v>13520</v>
      </c>
      <c r="U169" s="2"/>
      <c r="V169" s="6">
        <f t="shared" si="38"/>
        <v>1.4151957057602967E-3</v>
      </c>
      <c r="W169" s="2"/>
      <c r="X169" s="7">
        <f t="shared" si="39"/>
        <v>3301.1500000000015</v>
      </c>
      <c r="Y169" s="2"/>
      <c r="Z169" s="6">
        <f t="shared" si="40"/>
        <v>0.24416789940828412</v>
      </c>
    </row>
    <row r="170" spans="1:26" s="25" customFormat="1" outlineLevel="1" collapsed="1" x14ac:dyDescent="0.25">
      <c r="A170" s="27"/>
      <c r="B170" s="13" t="str">
        <f>CONCATENATE("     ","Bad Debts/Over/Short                              ")</f>
        <v xml:space="preserve">     Bad Debts/Over/Short                              </v>
      </c>
      <c r="C170" s="13"/>
      <c r="D170" s="1">
        <f>SUM(OSRRefD22_3x_0)</f>
        <v>-16.510000000000002</v>
      </c>
      <c r="E170" s="1"/>
      <c r="F170" s="5">
        <f t="shared" si="33"/>
        <v>-2.6933997659597114E-5</v>
      </c>
      <c r="G170" s="1"/>
      <c r="H170" s="1">
        <f>SUM(OSRRefH22_3x_0)</f>
        <v>110</v>
      </c>
      <c r="I170" s="1"/>
      <c r="J170" s="5">
        <f t="shared" si="34"/>
        <v>2.1357522993315094E-4</v>
      </c>
      <c r="K170" s="1"/>
      <c r="L170" s="1">
        <f t="shared" si="35"/>
        <v>-126.51</v>
      </c>
      <c r="M170" s="1"/>
      <c r="N170" s="5">
        <f t="shared" si="36"/>
        <v>-1.1500909090909091</v>
      </c>
      <c r="O170" s="13"/>
      <c r="P170" s="1">
        <f>SUM(OSRRefP22_3x_0)</f>
        <v>5183.95</v>
      </c>
      <c r="Q170" s="1"/>
      <c r="R170" s="5">
        <f t="shared" si="37"/>
        <v>8.2497979261415269E-4</v>
      </c>
      <c r="S170" s="1"/>
      <c r="T170" s="1">
        <f>SUM(OSRRefT22_3x_0)</f>
        <v>990</v>
      </c>
      <c r="U170" s="1"/>
      <c r="V170" s="5">
        <f t="shared" si="38"/>
        <v>1.0362749620582054E-4</v>
      </c>
      <c r="W170" s="1"/>
      <c r="X170" s="1">
        <f t="shared" si="39"/>
        <v>4193.95</v>
      </c>
      <c r="Y170" s="1"/>
      <c r="Z170" s="5">
        <f t="shared" si="40"/>
        <v>4.236313131313131</v>
      </c>
    </row>
    <row r="171" spans="1:26" s="24" customFormat="1" hidden="1" outlineLevel="2" x14ac:dyDescent="0.25">
      <c r="A171" s="26"/>
      <c r="B171" s="11" t="str">
        <f>CONCATENATE("          ", "6272", " - ", "CASH (OVER/SHORT)")</f>
        <v xml:space="preserve">          6272 - CASH (OVER/SHORT)</v>
      </c>
      <c r="C171" s="11"/>
      <c r="D171" s="7">
        <v>-16.510000000000002</v>
      </c>
      <c r="E171" s="2"/>
      <c r="F171" s="6">
        <f t="shared" si="33"/>
        <v>-2.6933997659597114E-5</v>
      </c>
      <c r="G171" s="2"/>
      <c r="H171" s="7">
        <v>60</v>
      </c>
      <c r="I171" s="2"/>
      <c r="J171" s="6">
        <f t="shared" si="34"/>
        <v>1.1649557996353689E-4</v>
      </c>
      <c r="K171" s="2"/>
      <c r="L171" s="7">
        <f t="shared" si="35"/>
        <v>-76.510000000000005</v>
      </c>
      <c r="M171" s="2"/>
      <c r="N171" s="6">
        <f t="shared" si="36"/>
        <v>-1.2751666666666668</v>
      </c>
      <c r="O171" s="11"/>
      <c r="P171" s="7">
        <v>-165.47</v>
      </c>
      <c r="Q171" s="2"/>
      <c r="R171" s="6">
        <f t="shared" si="37"/>
        <v>-2.6333086986538036E-5</v>
      </c>
      <c r="S171" s="2"/>
      <c r="T171" s="7">
        <v>540</v>
      </c>
      <c r="U171" s="2"/>
      <c r="V171" s="6">
        <f t="shared" si="38"/>
        <v>5.6524088839538471E-5</v>
      </c>
      <c r="W171" s="2"/>
      <c r="X171" s="7">
        <f t="shared" si="39"/>
        <v>-705.47</v>
      </c>
      <c r="Y171" s="2"/>
      <c r="Z171" s="6">
        <f t="shared" si="40"/>
        <v>-1.3064259259259259</v>
      </c>
    </row>
    <row r="172" spans="1:26" s="24" customFormat="1" hidden="1" outlineLevel="2" x14ac:dyDescent="0.25">
      <c r="A172" s="26"/>
      <c r="B172" s="11" t="str">
        <f>CONCATENATE("          ", "6342", " - ", "BAD DEBT")</f>
        <v xml:space="preserve">          6342 - BAD DEBT</v>
      </c>
      <c r="C172" s="11"/>
      <c r="D172" s="7"/>
      <c r="E172" s="2"/>
      <c r="F172" s="6">
        <f t="shared" si="33"/>
        <v>0</v>
      </c>
      <c r="G172" s="2"/>
      <c r="H172" s="7">
        <v>50</v>
      </c>
      <c r="I172" s="2"/>
      <c r="J172" s="6">
        <f t="shared" si="34"/>
        <v>9.707964996961407E-5</v>
      </c>
      <c r="K172" s="2"/>
      <c r="L172" s="7">
        <f t="shared" si="35"/>
        <v>-50</v>
      </c>
      <c r="M172" s="2"/>
      <c r="N172" s="6">
        <f t="shared" si="36"/>
        <v>-1</v>
      </c>
      <c r="O172" s="11"/>
      <c r="P172" s="7">
        <v>5349.42</v>
      </c>
      <c r="Q172" s="2"/>
      <c r="R172" s="6">
        <f t="shared" si="37"/>
        <v>8.513128796006908E-4</v>
      </c>
      <c r="S172" s="2"/>
      <c r="T172" s="7">
        <v>450</v>
      </c>
      <c r="U172" s="2"/>
      <c r="V172" s="6">
        <f t="shared" si="38"/>
        <v>4.7103407366282064E-5</v>
      </c>
      <c r="W172" s="2"/>
      <c r="X172" s="7">
        <f t="shared" si="39"/>
        <v>4899.42</v>
      </c>
      <c r="Y172" s="2"/>
      <c r="Z172" s="6">
        <f t="shared" si="40"/>
        <v>10.887600000000001</v>
      </c>
    </row>
    <row r="173" spans="1:26" s="25" customFormat="1" outlineLevel="1" collapsed="1" x14ac:dyDescent="0.25">
      <c r="A173" s="27"/>
      <c r="B173" s="13" t="str">
        <f>CONCATENATE("     ","Bank/card Fees                                    ")</f>
        <v xml:space="preserve">     Bank/card Fees                                    </v>
      </c>
      <c r="C173" s="13"/>
      <c r="D173" s="1">
        <f>SUM(OSRRefD22_4x_0)</f>
        <v>3823.93</v>
      </c>
      <c r="E173" s="1"/>
      <c r="F173" s="5">
        <f t="shared" ref="F173:F177" si="41">IF(D$12=0,0,D173/D$12)</f>
        <v>6.2382629721661528E-3</v>
      </c>
      <c r="G173" s="1"/>
      <c r="H173" s="1">
        <f>SUM(OSRRefH22_4x_0)</f>
        <v>16373</v>
      </c>
      <c r="I173" s="1"/>
      <c r="J173" s="5">
        <f t="shared" ref="J173:J177" si="42">IF(H$12=0,0,H173/H$12)</f>
        <v>3.1789702179049827E-2</v>
      </c>
      <c r="K173" s="1"/>
      <c r="L173" s="1">
        <f t="shared" ref="L173:L177" si="43">+D173-H173</f>
        <v>-12549.07</v>
      </c>
      <c r="M173" s="1"/>
      <c r="N173" s="5">
        <f t="shared" ref="N173:N177" si="44">IF(H173=0,0,L173/H173)</f>
        <v>-0.76644903194283265</v>
      </c>
      <c r="O173" s="13"/>
      <c r="P173" s="1">
        <f>SUM(OSRRefP22_4x_0)</f>
        <v>69325.009999999995</v>
      </c>
      <c r="Q173" s="1"/>
      <c r="R173" s="5">
        <f t="shared" ref="R173:R177" si="45">IF(P$12=0,0,P173/P$12)</f>
        <v>1.1032462190563964E-2</v>
      </c>
      <c r="S173" s="1"/>
      <c r="T173" s="1">
        <f>SUM(OSRRefT22_4x_0)</f>
        <v>168731</v>
      </c>
      <c r="U173" s="1"/>
      <c r="V173" s="5">
        <f t="shared" ref="V173:V177" si="46">IF(T$12=0,0,T173/T$12)</f>
        <v>1.7661788951822532E-2</v>
      </c>
      <c r="W173" s="1"/>
      <c r="X173" s="1">
        <f t="shared" ref="X173:X177" si="47">+P173-T173</f>
        <v>-99405.99</v>
      </c>
      <c r="Y173" s="1"/>
      <c r="Z173" s="5">
        <f t="shared" ref="Z173:Z177" si="48">IF(T173=0,0,X173/T173)</f>
        <v>-0.58913886600565402</v>
      </c>
    </row>
    <row r="174" spans="1:26" s="24" customFormat="1" hidden="1" outlineLevel="2" x14ac:dyDescent="0.25">
      <c r="A174" s="26"/>
      <c r="B174" s="11" t="str">
        <f>CONCATENATE("          ", "6381", " - ", "BANK/CREDIT CARD FEES")</f>
        <v xml:space="preserve">          6381 - BANK/CREDIT CARD FEES</v>
      </c>
      <c r="C174" s="11"/>
      <c r="D174" s="7">
        <v>3823.93</v>
      </c>
      <c r="E174" s="2"/>
      <c r="F174" s="6">
        <f t="shared" si="41"/>
        <v>6.2382629721661528E-3</v>
      </c>
      <c r="G174" s="2"/>
      <c r="H174" s="7">
        <v>16373</v>
      </c>
      <c r="I174" s="2"/>
      <c r="J174" s="6">
        <f t="shared" si="42"/>
        <v>3.1789702179049827E-2</v>
      </c>
      <c r="K174" s="2"/>
      <c r="L174" s="7">
        <f t="shared" si="43"/>
        <v>-12549.07</v>
      </c>
      <c r="M174" s="2"/>
      <c r="N174" s="6">
        <f t="shared" si="44"/>
        <v>-0.76644903194283265</v>
      </c>
      <c r="O174" s="11"/>
      <c r="P174" s="7">
        <v>69325.009999999995</v>
      </c>
      <c r="Q174" s="2"/>
      <c r="R174" s="6">
        <f t="shared" si="45"/>
        <v>1.1032462190563964E-2</v>
      </c>
      <c r="S174" s="2"/>
      <c r="T174" s="7">
        <v>168731</v>
      </c>
      <c r="U174" s="2"/>
      <c r="V174" s="6">
        <f t="shared" si="46"/>
        <v>1.7661788951822532E-2</v>
      </c>
      <c r="W174" s="2"/>
      <c r="X174" s="7">
        <f t="shared" si="47"/>
        <v>-99405.99</v>
      </c>
      <c r="Y174" s="2"/>
      <c r="Z174" s="6">
        <f t="shared" si="48"/>
        <v>-0.58913886600565402</v>
      </c>
    </row>
    <row r="175" spans="1:26" s="25" customFormat="1" outlineLevel="1" collapsed="1" x14ac:dyDescent="0.25">
      <c r="A175" s="27"/>
      <c r="B175" s="13" t="str">
        <f>CONCATENATE("     ","Depreciation                                      ")</f>
        <v xml:space="preserve">     Depreciation                                      </v>
      </c>
      <c r="C175" s="13"/>
      <c r="D175" s="1">
        <f>SUM(OSRRefD22_5x_0)</f>
        <v>31016.29</v>
      </c>
      <c r="E175" s="1"/>
      <c r="F175" s="5">
        <f t="shared" si="41"/>
        <v>5.0599193353687788E-2</v>
      </c>
      <c r="G175" s="1"/>
      <c r="H175" s="1">
        <f>SUM(OSRRefH22_5x_0)</f>
        <v>30594</v>
      </c>
      <c r="I175" s="1"/>
      <c r="J175" s="5">
        <f t="shared" si="42"/>
        <v>5.940109622340746E-2</v>
      </c>
      <c r="K175" s="1"/>
      <c r="L175" s="1">
        <f t="shared" si="43"/>
        <v>422.29000000000087</v>
      </c>
      <c r="M175" s="1"/>
      <c r="N175" s="5">
        <f t="shared" si="44"/>
        <v>1.3803033274498297E-2</v>
      </c>
      <c r="O175" s="13"/>
      <c r="P175" s="1">
        <f>SUM(OSRRefP22_5x_0)</f>
        <v>279442.09999999998</v>
      </c>
      <c r="Q175" s="1"/>
      <c r="R175" s="5">
        <f t="shared" si="45"/>
        <v>4.4470738665624343E-2</v>
      </c>
      <c r="S175" s="1"/>
      <c r="T175" s="1">
        <f>SUM(OSRRefT22_5x_0)</f>
        <v>276354</v>
      </c>
      <c r="U175" s="1"/>
      <c r="V175" s="5">
        <f t="shared" si="46"/>
        <v>2.8927144531781138E-2</v>
      </c>
      <c r="W175" s="1"/>
      <c r="X175" s="1">
        <f t="shared" si="47"/>
        <v>3088.0999999999767</v>
      </c>
      <c r="Y175" s="1"/>
      <c r="Z175" s="5">
        <f t="shared" si="48"/>
        <v>1.1174435687560075E-2</v>
      </c>
    </row>
    <row r="176" spans="1:26" s="24" customFormat="1" hidden="1" outlineLevel="2" x14ac:dyDescent="0.25">
      <c r="A176" s="26"/>
      <c r="B176" s="11" t="str">
        <f>CONCATENATE("          ", "6321", " - ", "BUILDING DEPRECIATION")</f>
        <v xml:space="preserve">          6321 - BUILDING DEPRECIATION</v>
      </c>
      <c r="C176" s="11"/>
      <c r="D176" s="7">
        <v>16396.52</v>
      </c>
      <c r="E176" s="2"/>
      <c r="F176" s="6">
        <f t="shared" si="41"/>
        <v>2.6748869249275425E-2</v>
      </c>
      <c r="G176" s="2"/>
      <c r="H176" s="7"/>
      <c r="I176" s="2"/>
      <c r="J176" s="6">
        <f t="shared" si="42"/>
        <v>0</v>
      </c>
      <c r="K176" s="2"/>
      <c r="L176" s="7">
        <f t="shared" si="43"/>
        <v>16396.52</v>
      </c>
      <c r="M176" s="2"/>
      <c r="N176" s="6">
        <f t="shared" si="44"/>
        <v>0</v>
      </c>
      <c r="O176" s="11"/>
      <c r="P176" s="7">
        <v>147568.68</v>
      </c>
      <c r="Q176" s="2"/>
      <c r="R176" s="6">
        <f t="shared" si="45"/>
        <v>2.3484250238282441E-2</v>
      </c>
      <c r="S176" s="2"/>
      <c r="T176" s="7"/>
      <c r="U176" s="2"/>
      <c r="V176" s="6">
        <f t="shared" si="46"/>
        <v>0</v>
      </c>
      <c r="W176" s="2"/>
      <c r="X176" s="7">
        <f t="shared" si="47"/>
        <v>147568.68</v>
      </c>
      <c r="Y176" s="2"/>
      <c r="Z176" s="6">
        <f t="shared" si="48"/>
        <v>0</v>
      </c>
    </row>
    <row r="177" spans="1:26" s="24" customFormat="1" hidden="1" outlineLevel="2" x14ac:dyDescent="0.25">
      <c r="A177" s="26"/>
      <c r="B177" s="11" t="str">
        <f>CONCATENATE("          ", "6322", " - ", "EQUIPMENT DEPRECIATION EXPENSE")</f>
        <v xml:space="preserve">          6322 - EQUIPMENT DEPRECIATION EXPENSE</v>
      </c>
      <c r="C177" s="11"/>
      <c r="D177" s="7">
        <v>14619.77</v>
      </c>
      <c r="E177" s="2"/>
      <c r="F177" s="6">
        <f t="shared" si="41"/>
        <v>2.385032410441236E-2</v>
      </c>
      <c r="G177" s="2"/>
      <c r="H177" s="7">
        <v>30594</v>
      </c>
      <c r="I177" s="2"/>
      <c r="J177" s="6">
        <f t="shared" si="42"/>
        <v>5.940109622340746E-2</v>
      </c>
      <c r="K177" s="2"/>
      <c r="L177" s="7">
        <f t="shared" si="43"/>
        <v>-15974.23</v>
      </c>
      <c r="M177" s="2"/>
      <c r="N177" s="6">
        <f t="shared" si="44"/>
        <v>-0.52213603974635547</v>
      </c>
      <c r="O177" s="11"/>
      <c r="P177" s="7">
        <v>131873.42000000001</v>
      </c>
      <c r="Q177" s="2"/>
      <c r="R177" s="6">
        <f t="shared" si="45"/>
        <v>2.0986488427341906E-2</v>
      </c>
      <c r="S177" s="2"/>
      <c r="T177" s="7">
        <v>276354</v>
      </c>
      <c r="U177" s="2"/>
      <c r="V177" s="6">
        <f t="shared" si="46"/>
        <v>2.8927144531781138E-2</v>
      </c>
      <c r="W177" s="2"/>
      <c r="X177" s="7">
        <f t="shared" si="47"/>
        <v>-144480.57999999999</v>
      </c>
      <c r="Y177" s="2"/>
      <c r="Z177" s="6">
        <f t="shared" si="48"/>
        <v>-0.52280980192072479</v>
      </c>
    </row>
    <row r="178" spans="1:26" s="25" customFormat="1" outlineLevel="1" collapsed="1" x14ac:dyDescent="0.25">
      <c r="A178" s="27"/>
      <c r="B178" s="13" t="str">
        <f>CONCATENATE("     ","Discounts and Markdowns                           ")</f>
        <v xml:space="preserve">     Discounts and Markdowns                           </v>
      </c>
      <c r="C178" s="13"/>
      <c r="D178" s="1">
        <f>SUM(OSRRefD22_6x_0)</f>
        <v>0</v>
      </c>
      <c r="E178" s="1"/>
      <c r="F178" s="5">
        <f t="shared" ref="F178:F180" si="49">IF(D$12=0,0,D178/D$12)</f>
        <v>0</v>
      </c>
      <c r="G178" s="1"/>
      <c r="H178" s="1">
        <f>SUM(OSRRefH22_6x_0)</f>
        <v>30398</v>
      </c>
      <c r="I178" s="1"/>
      <c r="J178" s="5">
        <f t="shared" ref="J178:J180" si="50">IF(H$12=0,0,H178/H$12)</f>
        <v>5.9020543995526573E-2</v>
      </c>
      <c r="K178" s="1"/>
      <c r="L178" s="1">
        <f t="shared" ref="L178:L180" si="51">+D178-H178</f>
        <v>-30398</v>
      </c>
      <c r="M178" s="1"/>
      <c r="N178" s="5">
        <f t="shared" ref="N178:N180" si="52">IF(H178=0,0,L178/H178)</f>
        <v>-1</v>
      </c>
      <c r="O178" s="13"/>
      <c r="P178" s="1">
        <f>SUM(OSRRefP22_6x_0)</f>
        <v>0</v>
      </c>
      <c r="Q178" s="1"/>
      <c r="R178" s="5">
        <f t="shared" ref="R178:R180" si="53">IF(P$12=0,0,P178/P$12)</f>
        <v>0</v>
      </c>
      <c r="S178" s="1"/>
      <c r="T178" s="1">
        <f>SUM(OSRRefT22_6x_0)</f>
        <v>277798</v>
      </c>
      <c r="U178" s="1"/>
      <c r="V178" s="5">
        <f t="shared" ref="V178:V180" si="54">IF(T$12=0,0,T178/T$12)</f>
        <v>2.907829413230761E-2</v>
      </c>
      <c r="W178" s="1"/>
      <c r="X178" s="1">
        <f t="shared" ref="X178:X180" si="55">+P178-T178</f>
        <v>-277798</v>
      </c>
      <c r="Y178" s="1"/>
      <c r="Z178" s="5">
        <f t="shared" ref="Z178:Z180" si="56">IF(T178=0,0,X178/T178)</f>
        <v>-1</v>
      </c>
    </row>
    <row r="179" spans="1:26" s="24" customFormat="1" hidden="1" outlineLevel="2" x14ac:dyDescent="0.25">
      <c r="A179" s="26"/>
      <c r="B179" s="11" t="str">
        <f>CONCATENATE("          ", "6382", " - ", "DISCOUNTS/MARK DOWNS")</f>
        <v xml:space="preserve">          6382 - DISCOUNTS/MARK DOWNS</v>
      </c>
      <c r="C179" s="11"/>
      <c r="D179" s="7">
        <v>0</v>
      </c>
      <c r="E179" s="2"/>
      <c r="F179" s="6">
        <f t="shared" si="49"/>
        <v>0</v>
      </c>
      <c r="G179" s="2"/>
      <c r="H179" s="7">
        <v>30398</v>
      </c>
      <c r="I179" s="2"/>
      <c r="J179" s="6">
        <f t="shared" si="50"/>
        <v>5.9020543995526573E-2</v>
      </c>
      <c r="K179" s="2"/>
      <c r="L179" s="7">
        <f t="shared" si="51"/>
        <v>-30398</v>
      </c>
      <c r="M179" s="2"/>
      <c r="N179" s="6">
        <f t="shared" si="52"/>
        <v>-1</v>
      </c>
      <c r="O179" s="11"/>
      <c r="P179" s="7">
        <v>0</v>
      </c>
      <c r="Q179" s="2"/>
      <c r="R179" s="6">
        <f t="shared" si="53"/>
        <v>0</v>
      </c>
      <c r="S179" s="2"/>
      <c r="T179" s="7">
        <v>277798</v>
      </c>
      <c r="U179" s="2"/>
      <c r="V179" s="6">
        <f t="shared" si="54"/>
        <v>2.907829413230761E-2</v>
      </c>
      <c r="W179" s="2"/>
      <c r="X179" s="7">
        <f t="shared" si="55"/>
        <v>-277798</v>
      </c>
      <c r="Y179" s="2"/>
      <c r="Z179" s="6">
        <f t="shared" si="56"/>
        <v>-1</v>
      </c>
    </row>
    <row r="180" spans="1:26" s="24" customFormat="1" hidden="1" outlineLevel="2" x14ac:dyDescent="0.25">
      <c r="A180" s="26"/>
      <c r="B180" s="11" t="str">
        <f>CONCATENATE("          ", "9175", " - ", "EARNED DISCOUNTS")</f>
        <v xml:space="preserve">          9175 - EARNED DISCOUNTS</v>
      </c>
      <c r="C180" s="11"/>
      <c r="D180" s="7">
        <v>0</v>
      </c>
      <c r="E180" s="2"/>
      <c r="F180" s="6">
        <f t="shared" si="49"/>
        <v>0</v>
      </c>
      <c r="G180" s="2"/>
      <c r="H180" s="7"/>
      <c r="I180" s="2"/>
      <c r="J180" s="6">
        <f t="shared" si="50"/>
        <v>0</v>
      </c>
      <c r="K180" s="2"/>
      <c r="L180" s="7">
        <f t="shared" si="51"/>
        <v>0</v>
      </c>
      <c r="M180" s="2"/>
      <c r="N180" s="6">
        <f t="shared" si="52"/>
        <v>0</v>
      </c>
      <c r="O180" s="11"/>
      <c r="P180" s="7">
        <v>0</v>
      </c>
      <c r="Q180" s="2"/>
      <c r="R180" s="6">
        <f t="shared" si="53"/>
        <v>0</v>
      </c>
      <c r="S180" s="2"/>
      <c r="T180" s="7"/>
      <c r="U180" s="2"/>
      <c r="V180" s="6">
        <f t="shared" si="54"/>
        <v>0</v>
      </c>
      <c r="W180" s="2"/>
      <c r="X180" s="7">
        <f t="shared" si="55"/>
        <v>0</v>
      </c>
      <c r="Y180" s="2"/>
      <c r="Z180" s="6">
        <f t="shared" si="56"/>
        <v>0</v>
      </c>
    </row>
    <row r="181" spans="1:26" s="25" customFormat="1" outlineLevel="1" collapsed="1" x14ac:dyDescent="0.25">
      <c r="A181" s="27"/>
      <c r="B181" s="13" t="str">
        <f>CONCATENATE("     ","Donations                                         ")</f>
        <v xml:space="preserve">     Donations                                         </v>
      </c>
      <c r="C181" s="13"/>
      <c r="D181" s="1">
        <f>SUM(OSRRefD22_7x_0)</f>
        <v>0</v>
      </c>
      <c r="E181" s="1"/>
      <c r="F181" s="5">
        <f t="shared" ref="F181:F183" si="57">IF(D$12=0,0,D181/D$12)</f>
        <v>0</v>
      </c>
      <c r="G181" s="1"/>
      <c r="H181" s="1">
        <f>SUM(OSRRefH22_7x_0)</f>
        <v>1000</v>
      </c>
      <c r="I181" s="1"/>
      <c r="J181" s="5">
        <f t="shared" ref="J181:J183" si="58">IF(H$12=0,0,H181/H$12)</f>
        <v>1.9415929993922814E-3</v>
      </c>
      <c r="K181" s="1"/>
      <c r="L181" s="1">
        <f t="shared" ref="L181:L183" si="59">+D181-H181</f>
        <v>-1000</v>
      </c>
      <c r="M181" s="1"/>
      <c r="N181" s="5">
        <f t="shared" ref="N181:N183" si="60">IF(H181=0,0,L181/H181)</f>
        <v>-1</v>
      </c>
      <c r="O181" s="13"/>
      <c r="P181" s="1">
        <f>SUM(OSRRefP22_7x_0)</f>
        <v>0</v>
      </c>
      <c r="Q181" s="1"/>
      <c r="R181" s="5">
        <f t="shared" ref="R181:R183" si="61">IF(P$12=0,0,P181/P$12)</f>
        <v>0</v>
      </c>
      <c r="S181" s="1"/>
      <c r="T181" s="1">
        <f>SUM(OSRRefT22_7x_0)</f>
        <v>9000</v>
      </c>
      <c r="U181" s="1"/>
      <c r="V181" s="5">
        <f t="shared" ref="V181:V183" si="62">IF(T$12=0,0,T181/T$12)</f>
        <v>9.4206814732564128E-4</v>
      </c>
      <c r="W181" s="1"/>
      <c r="X181" s="1">
        <f t="shared" ref="X181:X183" si="63">+P181-T181</f>
        <v>-9000</v>
      </c>
      <c r="Y181" s="1"/>
      <c r="Z181" s="5">
        <f t="shared" ref="Z181:Z183" si="64">IF(T181=0,0,X181/T181)</f>
        <v>-1</v>
      </c>
    </row>
    <row r="182" spans="1:26" s="24" customFormat="1" hidden="1" outlineLevel="2" x14ac:dyDescent="0.25">
      <c r="A182" s="26"/>
      <c r="B182" s="11" t="str">
        <f>CONCATENATE("          ", "6395", " - ", "DONATION-OFF CAMPUS")</f>
        <v xml:space="preserve">          6395 - DONATION-OFF CAMPUS</v>
      </c>
      <c r="C182" s="11"/>
      <c r="D182" s="7"/>
      <c r="E182" s="2"/>
      <c r="F182" s="6">
        <f t="shared" si="57"/>
        <v>0</v>
      </c>
      <c r="G182" s="2"/>
      <c r="H182" s="7"/>
      <c r="I182" s="2"/>
      <c r="J182" s="6">
        <f t="shared" si="58"/>
        <v>0</v>
      </c>
      <c r="K182" s="2"/>
      <c r="L182" s="7">
        <f t="shared" si="59"/>
        <v>0</v>
      </c>
      <c r="M182" s="2"/>
      <c r="N182" s="6">
        <f t="shared" si="60"/>
        <v>0</v>
      </c>
      <c r="O182" s="11"/>
      <c r="P182" s="7"/>
      <c r="Q182" s="2"/>
      <c r="R182" s="6">
        <f t="shared" si="61"/>
        <v>0</v>
      </c>
      <c r="S182" s="2"/>
      <c r="T182" s="7">
        <v>0</v>
      </c>
      <c r="U182" s="2"/>
      <c r="V182" s="6">
        <f t="shared" si="62"/>
        <v>0</v>
      </c>
      <c r="W182" s="2"/>
      <c r="X182" s="7">
        <f t="shared" si="63"/>
        <v>0</v>
      </c>
      <c r="Y182" s="2"/>
      <c r="Z182" s="6">
        <f t="shared" si="64"/>
        <v>0</v>
      </c>
    </row>
    <row r="183" spans="1:26" s="24" customFormat="1" hidden="1" outlineLevel="2" x14ac:dyDescent="0.25">
      <c r="A183" s="26"/>
      <c r="B183" s="11" t="str">
        <f>CONCATENATE("          ", "6399", " - ", "DONATION-ON CAMPUS")</f>
        <v xml:space="preserve">          6399 - DONATION-ON CAMPUS</v>
      </c>
      <c r="C183" s="11"/>
      <c r="D183" s="7"/>
      <c r="E183" s="2"/>
      <c r="F183" s="6">
        <f t="shared" si="57"/>
        <v>0</v>
      </c>
      <c r="G183" s="2"/>
      <c r="H183" s="7">
        <v>1000</v>
      </c>
      <c r="I183" s="2"/>
      <c r="J183" s="6">
        <f t="shared" si="58"/>
        <v>1.9415929993922814E-3</v>
      </c>
      <c r="K183" s="2"/>
      <c r="L183" s="7">
        <f t="shared" si="59"/>
        <v>-1000</v>
      </c>
      <c r="M183" s="2"/>
      <c r="N183" s="6">
        <f t="shared" si="60"/>
        <v>-1</v>
      </c>
      <c r="O183" s="11"/>
      <c r="P183" s="7"/>
      <c r="Q183" s="2"/>
      <c r="R183" s="6">
        <f t="shared" si="61"/>
        <v>0</v>
      </c>
      <c r="S183" s="2"/>
      <c r="T183" s="7">
        <v>9000</v>
      </c>
      <c r="U183" s="2"/>
      <c r="V183" s="6">
        <f t="shared" si="62"/>
        <v>9.4206814732564128E-4</v>
      </c>
      <c r="W183" s="2"/>
      <c r="X183" s="7">
        <f t="shared" si="63"/>
        <v>-9000</v>
      </c>
      <c r="Y183" s="2"/>
      <c r="Z183" s="6">
        <f t="shared" si="64"/>
        <v>-1</v>
      </c>
    </row>
    <row r="184" spans="1:26" s="25" customFormat="1" outlineLevel="1" collapsed="1" x14ac:dyDescent="0.25">
      <c r="A184" s="27"/>
      <c r="B184" s="13" t="str">
        <f>CONCATENATE("     ","Employees' Appreciation                           ")</f>
        <v xml:space="preserve">     Employees' Appreciation                           </v>
      </c>
      <c r="C184" s="13"/>
      <c r="D184" s="1">
        <f>SUM(OSRRefD22_8x_0)</f>
        <v>0</v>
      </c>
      <c r="E184" s="1"/>
      <c r="F184" s="5">
        <f t="shared" ref="F184:F190" si="65">IF(D$12=0,0,D184/D$12)</f>
        <v>0</v>
      </c>
      <c r="G184" s="1"/>
      <c r="H184" s="1">
        <f>SUM(OSRRefH22_8x_0)</f>
        <v>420</v>
      </c>
      <c r="I184" s="1"/>
      <c r="J184" s="5">
        <f t="shared" ref="J184:J190" si="66">IF(H$12=0,0,H184/H$12)</f>
        <v>8.1546905974475817E-4</v>
      </c>
      <c r="K184" s="1"/>
      <c r="L184" s="1">
        <f t="shared" ref="L184:L190" si="67">+D184-H184</f>
        <v>-420</v>
      </c>
      <c r="M184" s="1"/>
      <c r="N184" s="5">
        <f t="shared" ref="N184:N190" si="68">IF(H184=0,0,L184/H184)</f>
        <v>-1</v>
      </c>
      <c r="O184" s="13"/>
      <c r="P184" s="1">
        <f>SUM(OSRRefP22_8x_0)</f>
        <v>186.03</v>
      </c>
      <c r="Q184" s="1"/>
      <c r="R184" s="5">
        <f t="shared" ref="R184:R190" si="69">IF(P$12=0,0,P184/P$12)</f>
        <v>2.9605029141872674E-5</v>
      </c>
      <c r="S184" s="1"/>
      <c r="T184" s="1">
        <f>SUM(OSRRefT22_8x_0)</f>
        <v>3880</v>
      </c>
      <c r="U184" s="1"/>
      <c r="V184" s="5">
        <f t="shared" ref="V184:V190" si="70">IF(T$12=0,0,T184/T$12)</f>
        <v>4.0613604573594311E-4</v>
      </c>
      <c r="W184" s="1"/>
      <c r="X184" s="1">
        <f t="shared" ref="X184:X190" si="71">+P184-T184</f>
        <v>-3693.97</v>
      </c>
      <c r="Y184" s="1"/>
      <c r="Z184" s="5">
        <f t="shared" ref="Z184:Z190" si="72">IF(T184=0,0,X184/T184)</f>
        <v>-0.95205412371134013</v>
      </c>
    </row>
    <row r="185" spans="1:26" s="24" customFormat="1" hidden="1" outlineLevel="2" x14ac:dyDescent="0.25">
      <c r="A185" s="26"/>
      <c r="B185" s="11" t="str">
        <f>CONCATENATE("          ", "6277", " - ", "EMPLOYEE APPRECIATION")</f>
        <v xml:space="preserve">          6277 - EMPLOYEE APPRECIATION</v>
      </c>
      <c r="C185" s="11"/>
      <c r="D185" s="7"/>
      <c r="E185" s="2"/>
      <c r="F185" s="6">
        <f t="shared" si="65"/>
        <v>0</v>
      </c>
      <c r="G185" s="2"/>
      <c r="H185" s="7">
        <v>420</v>
      </c>
      <c r="I185" s="2"/>
      <c r="J185" s="6">
        <f t="shared" si="66"/>
        <v>8.1546905974475817E-4</v>
      </c>
      <c r="K185" s="2"/>
      <c r="L185" s="7">
        <f t="shared" si="67"/>
        <v>-420</v>
      </c>
      <c r="M185" s="2"/>
      <c r="N185" s="6">
        <f t="shared" si="68"/>
        <v>-1</v>
      </c>
      <c r="O185" s="11"/>
      <c r="P185" s="7">
        <v>186.03</v>
      </c>
      <c r="Q185" s="2"/>
      <c r="R185" s="6">
        <f t="shared" si="69"/>
        <v>2.9605029141872674E-5</v>
      </c>
      <c r="S185" s="2"/>
      <c r="T185" s="7">
        <v>3880</v>
      </c>
      <c r="U185" s="2"/>
      <c r="V185" s="6">
        <f t="shared" si="70"/>
        <v>4.0613604573594311E-4</v>
      </c>
      <c r="W185" s="2"/>
      <c r="X185" s="7">
        <f t="shared" si="71"/>
        <v>-3693.97</v>
      </c>
      <c r="Y185" s="2"/>
      <c r="Z185" s="6">
        <f t="shared" si="72"/>
        <v>-0.95205412371134013</v>
      </c>
    </row>
    <row r="186" spans="1:26" s="25" customFormat="1" outlineLevel="1" collapsed="1" x14ac:dyDescent="0.25">
      <c r="A186" s="27"/>
      <c r="B186" s="13" t="str">
        <f>CONCATENATE("     ","Equipment Rental                                  ")</f>
        <v xml:space="preserve">     Equipment Rental                                  </v>
      </c>
      <c r="C186" s="13"/>
      <c r="D186" s="1">
        <f>SUM(OSRRefD22_9x_0)</f>
        <v>1296.9000000000001</v>
      </c>
      <c r="E186" s="1"/>
      <c r="F186" s="5">
        <f t="shared" si="65"/>
        <v>2.1157299554652631E-3</v>
      </c>
      <c r="G186" s="1"/>
      <c r="H186" s="1">
        <f>SUM(OSRRefH22_9x_0)</f>
        <v>3006</v>
      </c>
      <c r="I186" s="1"/>
      <c r="J186" s="5">
        <f t="shared" si="66"/>
        <v>5.836428556173198E-3</v>
      </c>
      <c r="K186" s="1"/>
      <c r="L186" s="1">
        <f t="shared" si="67"/>
        <v>-1709.1</v>
      </c>
      <c r="M186" s="1"/>
      <c r="N186" s="5">
        <f t="shared" si="68"/>
        <v>-0.56856287425149699</v>
      </c>
      <c r="O186" s="13"/>
      <c r="P186" s="1">
        <f>SUM(OSRRefP22_9x_0)</f>
        <v>13446.01</v>
      </c>
      <c r="Q186" s="1"/>
      <c r="R186" s="5">
        <f t="shared" si="69"/>
        <v>2.1398135671231058E-3</v>
      </c>
      <c r="S186" s="1"/>
      <c r="T186" s="1">
        <f>SUM(OSRRefT22_9x_0)</f>
        <v>27054</v>
      </c>
      <c r="U186" s="1"/>
      <c r="V186" s="5">
        <f t="shared" si="70"/>
        <v>2.8318568508608776E-3</v>
      </c>
      <c r="W186" s="1"/>
      <c r="X186" s="1">
        <f t="shared" si="71"/>
        <v>-13607.99</v>
      </c>
      <c r="Y186" s="1"/>
      <c r="Z186" s="5">
        <f t="shared" si="72"/>
        <v>-0.50299364234493971</v>
      </c>
    </row>
    <row r="187" spans="1:26" s="24" customFormat="1" hidden="1" outlineLevel="2" x14ac:dyDescent="0.25">
      <c r="A187" s="26"/>
      <c r="B187" s="11" t="str">
        <f>CONCATENATE("          ", "6351", " - ", "EQUIPMENT RENTAL")</f>
        <v xml:space="preserve">          6351 - EQUIPMENT RENTAL</v>
      </c>
      <c r="C187" s="11"/>
      <c r="D187" s="7">
        <v>1296.9000000000001</v>
      </c>
      <c r="E187" s="2"/>
      <c r="F187" s="6">
        <f t="shared" si="65"/>
        <v>2.1157299554652631E-3</v>
      </c>
      <c r="G187" s="2"/>
      <c r="H187" s="7">
        <v>3006</v>
      </c>
      <c r="I187" s="2"/>
      <c r="J187" s="6">
        <f t="shared" si="66"/>
        <v>5.836428556173198E-3</v>
      </c>
      <c r="K187" s="2"/>
      <c r="L187" s="7">
        <f t="shared" si="67"/>
        <v>-1709.1</v>
      </c>
      <c r="M187" s="2"/>
      <c r="N187" s="6">
        <f t="shared" si="68"/>
        <v>-0.56856287425149699</v>
      </c>
      <c r="O187" s="11"/>
      <c r="P187" s="7">
        <v>13446.01</v>
      </c>
      <c r="Q187" s="2"/>
      <c r="R187" s="6">
        <f t="shared" si="69"/>
        <v>2.1398135671231058E-3</v>
      </c>
      <c r="S187" s="2"/>
      <c r="T187" s="7">
        <v>27054</v>
      </c>
      <c r="U187" s="2"/>
      <c r="V187" s="6">
        <f t="shared" si="70"/>
        <v>2.8318568508608776E-3</v>
      </c>
      <c r="W187" s="2"/>
      <c r="X187" s="7">
        <f t="shared" si="71"/>
        <v>-13607.99</v>
      </c>
      <c r="Y187" s="2"/>
      <c r="Z187" s="6">
        <f t="shared" si="72"/>
        <v>-0.50299364234493971</v>
      </c>
    </row>
    <row r="188" spans="1:26" s="25" customFormat="1" outlineLevel="1" collapsed="1" x14ac:dyDescent="0.25">
      <c r="A188" s="27"/>
      <c r="B188" s="13" t="str">
        <f>CONCATENATE("     ","Freight out/Postage                               ")</f>
        <v xml:space="preserve">     Freight out/Postage                               </v>
      </c>
      <c r="C188" s="13"/>
      <c r="D188" s="1">
        <f>SUM(OSRRefD22_10x_0)</f>
        <v>-1320.7900000000009</v>
      </c>
      <c r="E188" s="1"/>
      <c r="F188" s="5">
        <f t="shared" si="65"/>
        <v>-2.1547034990199452E-3</v>
      </c>
      <c r="G188" s="1"/>
      <c r="H188" s="1">
        <f>SUM(OSRRefH22_10x_0)</f>
        <v>-12717</v>
      </c>
      <c r="I188" s="1"/>
      <c r="J188" s="5">
        <f t="shared" si="66"/>
        <v>-2.4691238173271641E-2</v>
      </c>
      <c r="K188" s="1"/>
      <c r="L188" s="1">
        <f t="shared" si="67"/>
        <v>11396.21</v>
      </c>
      <c r="M188" s="1"/>
      <c r="N188" s="5">
        <f t="shared" si="68"/>
        <v>-0.89613981284894229</v>
      </c>
      <c r="O188" s="13"/>
      <c r="P188" s="1">
        <f>SUM(OSRRefP22_10x_0)</f>
        <v>-32892.359999999986</v>
      </c>
      <c r="Q188" s="1"/>
      <c r="R188" s="5">
        <f t="shared" si="69"/>
        <v>-5.2345281747297025E-3</v>
      </c>
      <c r="S188" s="1"/>
      <c r="T188" s="1">
        <f>SUM(OSRRefT22_10x_0)</f>
        <v>33756</v>
      </c>
      <c r="U188" s="1"/>
      <c r="V188" s="5">
        <f t="shared" si="70"/>
        <v>3.533383597902705E-3</v>
      </c>
      <c r="W188" s="1"/>
      <c r="X188" s="1">
        <f t="shared" si="71"/>
        <v>-66648.359999999986</v>
      </c>
      <c r="Y188" s="1"/>
      <c r="Z188" s="5">
        <f t="shared" si="72"/>
        <v>-1.9744152150728755</v>
      </c>
    </row>
    <row r="189" spans="1:26" s="24" customFormat="1" hidden="1" outlineLevel="2" x14ac:dyDescent="0.25">
      <c r="A189" s="26"/>
      <c r="B189" s="11" t="str">
        <f>CONCATENATE("          ", "6305", " - ", "FREIGHT OUT")</f>
        <v xml:space="preserve">          6305 - FREIGHT OUT</v>
      </c>
      <c r="C189" s="11"/>
      <c r="D189" s="7">
        <v>18098.53</v>
      </c>
      <c r="E189" s="2"/>
      <c r="F189" s="6">
        <f t="shared" si="65"/>
        <v>2.9525485442892071E-2</v>
      </c>
      <c r="G189" s="2"/>
      <c r="H189" s="7">
        <v>7263</v>
      </c>
      <c r="I189" s="2"/>
      <c r="J189" s="6">
        <f t="shared" si="66"/>
        <v>1.4101789954586139E-2</v>
      </c>
      <c r="K189" s="2"/>
      <c r="L189" s="7">
        <f t="shared" si="67"/>
        <v>10835.529999999999</v>
      </c>
      <c r="M189" s="2"/>
      <c r="N189" s="6">
        <f t="shared" si="68"/>
        <v>1.4918807655238879</v>
      </c>
      <c r="O189" s="11"/>
      <c r="P189" s="7">
        <v>180835.48</v>
      </c>
      <c r="Q189" s="2"/>
      <c r="R189" s="6">
        <f t="shared" si="69"/>
        <v>2.8778367227245784E-2</v>
      </c>
      <c r="S189" s="2"/>
      <c r="T189" s="7">
        <v>56026</v>
      </c>
      <c r="U189" s="2"/>
      <c r="V189" s="6">
        <f t="shared" si="70"/>
        <v>5.8644788913407081E-3</v>
      </c>
      <c r="W189" s="2"/>
      <c r="X189" s="7">
        <f t="shared" si="71"/>
        <v>124809.48000000001</v>
      </c>
      <c r="Y189" s="2"/>
      <c r="Z189" s="6">
        <f t="shared" si="72"/>
        <v>2.2277064220183487</v>
      </c>
    </row>
    <row r="190" spans="1:26" s="24" customFormat="1" hidden="1" outlineLevel="2" x14ac:dyDescent="0.25">
      <c r="A190" s="26"/>
      <c r="B190" s="11" t="str">
        <f>CONCATENATE("          ", "6307", " - ", "POSTAGE")</f>
        <v xml:space="preserve">          6307 - POSTAGE</v>
      </c>
      <c r="C190" s="11"/>
      <c r="D190" s="7">
        <v>-19419.32</v>
      </c>
      <c r="E190" s="2"/>
      <c r="F190" s="6">
        <f t="shared" si="65"/>
        <v>-3.1680188941912019E-2</v>
      </c>
      <c r="G190" s="2"/>
      <c r="H190" s="7">
        <v>-19980</v>
      </c>
      <c r="I190" s="2"/>
      <c r="J190" s="6">
        <f t="shared" si="66"/>
        <v>-3.879302812785778E-2</v>
      </c>
      <c r="K190" s="2"/>
      <c r="L190" s="7">
        <f t="shared" si="67"/>
        <v>560.68000000000029</v>
      </c>
      <c r="M190" s="2"/>
      <c r="N190" s="6">
        <f t="shared" si="68"/>
        <v>-2.8062062062062076E-2</v>
      </c>
      <c r="O190" s="11"/>
      <c r="P190" s="7">
        <v>-213727.84</v>
      </c>
      <c r="Q190" s="2"/>
      <c r="R190" s="6">
        <f t="shared" si="69"/>
        <v>-3.4012895401975489E-2</v>
      </c>
      <c r="S190" s="2"/>
      <c r="T190" s="7">
        <v>-22270</v>
      </c>
      <c r="U190" s="2"/>
      <c r="V190" s="6">
        <f t="shared" si="70"/>
        <v>-2.3310952934380035E-3</v>
      </c>
      <c r="W190" s="2"/>
      <c r="X190" s="7">
        <f t="shared" si="71"/>
        <v>-191457.84</v>
      </c>
      <c r="Y190" s="2"/>
      <c r="Z190" s="6">
        <f t="shared" si="72"/>
        <v>8.5971189941625497</v>
      </c>
    </row>
    <row r="191" spans="1:26" s="25" customFormat="1" outlineLevel="1" collapsed="1" x14ac:dyDescent="0.25">
      <c r="A191" s="27"/>
      <c r="B191" s="13" t="str">
        <f>CONCATENATE("     ","General                                           ")</f>
        <v xml:space="preserve">     General                                           </v>
      </c>
      <c r="C191" s="13"/>
      <c r="D191" s="1">
        <f>SUM(OSRRefD22_11x_0)</f>
        <v>0</v>
      </c>
      <c r="E191" s="1"/>
      <c r="F191" s="5">
        <f t="shared" ref="F191:F194" si="73">IF(D$12=0,0,D191/D$12)</f>
        <v>0</v>
      </c>
      <c r="G191" s="1"/>
      <c r="H191" s="1">
        <f>SUM(OSRRefH22_11x_0)</f>
        <v>580</v>
      </c>
      <c r="I191" s="1"/>
      <c r="J191" s="5">
        <f t="shared" ref="J191:J194" si="74">IF(H$12=0,0,H191/H$12)</f>
        <v>1.1261239396475231E-3</v>
      </c>
      <c r="K191" s="1"/>
      <c r="L191" s="1">
        <f t="shared" ref="L191:L194" si="75">+D191-H191</f>
        <v>-580</v>
      </c>
      <c r="M191" s="1"/>
      <c r="N191" s="5">
        <f t="shared" ref="N191:N194" si="76">IF(H191=0,0,L191/H191)</f>
        <v>-1</v>
      </c>
      <c r="O191" s="13"/>
      <c r="P191" s="1">
        <f>SUM(OSRRefP22_11x_0)</f>
        <v>2479.64</v>
      </c>
      <c r="Q191" s="1"/>
      <c r="R191" s="5">
        <f t="shared" ref="R191:R194" si="77">IF(P$12=0,0,P191/P$12)</f>
        <v>3.9461277461352011E-4</v>
      </c>
      <c r="S191" s="1"/>
      <c r="T191" s="1">
        <f>SUM(OSRRefT22_11x_0)</f>
        <v>9520</v>
      </c>
      <c r="U191" s="1"/>
      <c r="V191" s="5">
        <f t="shared" ref="V191:V194" si="78">IF(T$12=0,0,T191/T$12)</f>
        <v>9.9649875139334486E-4</v>
      </c>
      <c r="W191" s="1"/>
      <c r="X191" s="1">
        <f t="shared" ref="X191:X194" si="79">+P191-T191</f>
        <v>-7040.3600000000006</v>
      </c>
      <c r="Y191" s="1"/>
      <c r="Z191" s="5">
        <f t="shared" ref="Z191:Z194" si="80">IF(T191=0,0,X191/T191)</f>
        <v>-0.73953361344537816</v>
      </c>
    </row>
    <row r="192" spans="1:26" s="24" customFormat="1" hidden="1" outlineLevel="2" x14ac:dyDescent="0.25">
      <c r="A192" s="26"/>
      <c r="B192" s="11" t="str">
        <f>CONCATENATE("          ", "6269", " - ", "ENTERTAINMENT")</f>
        <v xml:space="preserve">          6269 - ENTERTAINMENT</v>
      </c>
      <c r="C192" s="11"/>
      <c r="D192" s="7"/>
      <c r="E192" s="2"/>
      <c r="F192" s="6">
        <f t="shared" si="73"/>
        <v>0</v>
      </c>
      <c r="G192" s="2"/>
      <c r="H192" s="7">
        <v>0</v>
      </c>
      <c r="I192" s="2"/>
      <c r="J192" s="6">
        <f t="shared" si="74"/>
        <v>0</v>
      </c>
      <c r="K192" s="2"/>
      <c r="L192" s="7">
        <f t="shared" si="75"/>
        <v>0</v>
      </c>
      <c r="M192" s="2"/>
      <c r="N192" s="6">
        <f t="shared" si="76"/>
        <v>0</v>
      </c>
      <c r="O192" s="11"/>
      <c r="P192" s="7"/>
      <c r="Q192" s="2"/>
      <c r="R192" s="6">
        <f t="shared" si="77"/>
        <v>0</v>
      </c>
      <c r="S192" s="2"/>
      <c r="T192" s="7">
        <v>1500</v>
      </c>
      <c r="U192" s="2"/>
      <c r="V192" s="6">
        <f t="shared" si="78"/>
        <v>1.5701135788760687E-4</v>
      </c>
      <c r="W192" s="2"/>
      <c r="X192" s="7">
        <f t="shared" si="79"/>
        <v>-1500</v>
      </c>
      <c r="Y192" s="2"/>
      <c r="Z192" s="6">
        <f t="shared" si="80"/>
        <v>-1</v>
      </c>
    </row>
    <row r="193" spans="1:26" s="24" customFormat="1" hidden="1" outlineLevel="2" x14ac:dyDescent="0.25">
      <c r="A193" s="26"/>
      <c r="B193" s="11" t="str">
        <f>CONCATENATE("          ", "6276", " - ", "PROPERTY TAX")</f>
        <v xml:space="preserve">          6276 - PROPERTY TAX</v>
      </c>
      <c r="C193" s="11"/>
      <c r="D193" s="7"/>
      <c r="E193" s="2"/>
      <c r="F193" s="6">
        <f t="shared" si="73"/>
        <v>0</v>
      </c>
      <c r="G193" s="2"/>
      <c r="H193" s="7"/>
      <c r="I193" s="2"/>
      <c r="J193" s="6">
        <f t="shared" si="74"/>
        <v>0</v>
      </c>
      <c r="K193" s="2"/>
      <c r="L193" s="7">
        <f t="shared" si="75"/>
        <v>0</v>
      </c>
      <c r="M193" s="2"/>
      <c r="N193" s="6">
        <f t="shared" si="76"/>
        <v>0</v>
      </c>
      <c r="O193" s="11"/>
      <c r="P193" s="7"/>
      <c r="Q193" s="2"/>
      <c r="R193" s="6">
        <f t="shared" si="77"/>
        <v>0</v>
      </c>
      <c r="S193" s="2"/>
      <c r="T193" s="7">
        <v>150</v>
      </c>
      <c r="U193" s="2"/>
      <c r="V193" s="6">
        <f t="shared" si="78"/>
        <v>1.5701135788760686E-5</v>
      </c>
      <c r="W193" s="2"/>
      <c r="X193" s="7">
        <f t="shared" si="79"/>
        <v>-150</v>
      </c>
      <c r="Y193" s="2"/>
      <c r="Z193" s="6">
        <f t="shared" si="80"/>
        <v>-1</v>
      </c>
    </row>
    <row r="194" spans="1:26" s="24" customFormat="1" hidden="1" outlineLevel="2" x14ac:dyDescent="0.25">
      <c r="A194" s="26"/>
      <c r="B194" s="11" t="str">
        <f>CONCATENATE("          ", "6279", " - ", "GENERAL EXPENSE")</f>
        <v xml:space="preserve">          6279 - GENERAL EXPENSE</v>
      </c>
      <c r="C194" s="11"/>
      <c r="D194" s="7">
        <v>0</v>
      </c>
      <c r="E194" s="2"/>
      <c r="F194" s="6">
        <f t="shared" si="73"/>
        <v>0</v>
      </c>
      <c r="G194" s="2"/>
      <c r="H194" s="7">
        <v>580</v>
      </c>
      <c r="I194" s="2"/>
      <c r="J194" s="6">
        <f t="shared" si="74"/>
        <v>1.1261239396475231E-3</v>
      </c>
      <c r="K194" s="2"/>
      <c r="L194" s="7">
        <f t="shared" si="75"/>
        <v>-580</v>
      </c>
      <c r="M194" s="2"/>
      <c r="N194" s="6">
        <f t="shared" si="76"/>
        <v>-1</v>
      </c>
      <c r="O194" s="11"/>
      <c r="P194" s="7">
        <v>2479.64</v>
      </c>
      <c r="Q194" s="2"/>
      <c r="R194" s="6">
        <f t="shared" si="77"/>
        <v>3.9461277461352011E-4</v>
      </c>
      <c r="S194" s="2"/>
      <c r="T194" s="7">
        <v>7870</v>
      </c>
      <c r="U194" s="2"/>
      <c r="V194" s="6">
        <f t="shared" si="78"/>
        <v>8.2378625771697739E-4</v>
      </c>
      <c r="W194" s="2"/>
      <c r="X194" s="7">
        <f t="shared" si="79"/>
        <v>-5390.3600000000006</v>
      </c>
      <c r="Y194" s="2"/>
      <c r="Z194" s="6">
        <f t="shared" si="80"/>
        <v>-0.68492503176620079</v>
      </c>
    </row>
    <row r="195" spans="1:26" s="25" customFormat="1" outlineLevel="1" collapsed="1" x14ac:dyDescent="0.25">
      <c r="A195" s="27"/>
      <c r="B195" s="13" t="str">
        <f>CONCATENATE("     ","Insurance                                         ")</f>
        <v xml:space="preserve">     Insurance                                         </v>
      </c>
      <c r="C195" s="13"/>
      <c r="D195" s="1">
        <f>SUM(OSRRefD22_12x_0)</f>
        <v>4044.74</v>
      </c>
      <c r="E195" s="1"/>
      <c r="F195" s="5">
        <f t="shared" ref="F195:F199" si="81">IF(D$12=0,0,D195/D$12)</f>
        <v>6.5984868378969608E-3</v>
      </c>
      <c r="G195" s="1"/>
      <c r="H195" s="1">
        <f>SUM(OSRRefH22_12x_0)</f>
        <v>4446</v>
      </c>
      <c r="I195" s="1"/>
      <c r="J195" s="5">
        <f t="shared" ref="J195:J199" si="82">IF(H$12=0,0,H195/H$12)</f>
        <v>8.6323224752980834E-3</v>
      </c>
      <c r="K195" s="1"/>
      <c r="L195" s="1">
        <f t="shared" ref="L195:L199" si="83">+D195-H195</f>
        <v>-401.26000000000022</v>
      </c>
      <c r="M195" s="1"/>
      <c r="N195" s="5">
        <f t="shared" ref="N195:N199" si="84">IF(H195=0,0,L195/H195)</f>
        <v>-9.0251911830859247E-2</v>
      </c>
      <c r="O195" s="13"/>
      <c r="P195" s="1">
        <f>SUM(OSRRefP22_12x_0)</f>
        <v>36402.660000000003</v>
      </c>
      <c r="Q195" s="1"/>
      <c r="R195" s="5">
        <f t="shared" ref="R195:R199" si="85">IF(P$12=0,0,P195/P$12)</f>
        <v>5.7931613725833615E-3</v>
      </c>
      <c r="S195" s="1"/>
      <c r="T195" s="1">
        <f>SUM(OSRRefT22_12x_0)</f>
        <v>40014</v>
      </c>
      <c r="U195" s="1"/>
      <c r="V195" s="5">
        <f t="shared" ref="V195:V199" si="86">IF(T$12=0,0,T195/T$12)</f>
        <v>4.1884349830098007E-3</v>
      </c>
      <c r="W195" s="1"/>
      <c r="X195" s="1">
        <f t="shared" ref="X195:X199" si="87">+P195-T195</f>
        <v>-3611.3399999999965</v>
      </c>
      <c r="Y195" s="1"/>
      <c r="Z195" s="5">
        <f t="shared" ref="Z195:Z199" si="88">IF(T195=0,0,X195/T195)</f>
        <v>-9.0251911830859108E-2</v>
      </c>
    </row>
    <row r="196" spans="1:26" s="24" customFormat="1" hidden="1" outlineLevel="2" x14ac:dyDescent="0.25">
      <c r="A196" s="26"/>
      <c r="B196" s="11" t="str">
        <f>CONCATENATE("          ", "6314", " - ", "LIABILITY INSURANCE")</f>
        <v xml:space="preserve">          6314 - LIABILITY INSURANCE</v>
      </c>
      <c r="C196" s="11"/>
      <c r="D196" s="7">
        <v>4044.74</v>
      </c>
      <c r="E196" s="2"/>
      <c r="F196" s="6">
        <f t="shared" si="81"/>
        <v>6.5984868378969608E-3</v>
      </c>
      <c r="G196" s="2"/>
      <c r="H196" s="7">
        <v>4446</v>
      </c>
      <c r="I196" s="2"/>
      <c r="J196" s="6">
        <f t="shared" si="82"/>
        <v>8.6323224752980834E-3</v>
      </c>
      <c r="K196" s="2"/>
      <c r="L196" s="7">
        <f t="shared" si="83"/>
        <v>-401.26000000000022</v>
      </c>
      <c r="M196" s="2"/>
      <c r="N196" s="6">
        <f t="shared" si="84"/>
        <v>-9.0251911830859247E-2</v>
      </c>
      <c r="O196" s="11"/>
      <c r="P196" s="7">
        <v>36402.660000000003</v>
      </c>
      <c r="Q196" s="2"/>
      <c r="R196" s="6">
        <f t="shared" si="85"/>
        <v>5.7931613725833615E-3</v>
      </c>
      <c r="S196" s="2"/>
      <c r="T196" s="7">
        <v>40014</v>
      </c>
      <c r="U196" s="2"/>
      <c r="V196" s="6">
        <f t="shared" si="86"/>
        <v>4.1884349830098007E-3</v>
      </c>
      <c r="W196" s="2"/>
      <c r="X196" s="7">
        <f t="shared" si="87"/>
        <v>-3611.3399999999965</v>
      </c>
      <c r="Y196" s="2"/>
      <c r="Z196" s="6">
        <f t="shared" si="88"/>
        <v>-9.0251911830859108E-2</v>
      </c>
    </row>
    <row r="197" spans="1:26" s="25" customFormat="1" outlineLevel="1" collapsed="1" x14ac:dyDescent="0.25">
      <c r="A197" s="27"/>
      <c r="B197" s="13" t="str">
        <f>CONCATENATE("     ","Inventory Adjustment                              ")</f>
        <v xml:space="preserve">     Inventory Adjustment                              </v>
      </c>
      <c r="C197" s="13"/>
      <c r="D197" s="1">
        <f>SUM(OSRRefD22_13x_0)</f>
        <v>3350</v>
      </c>
      <c r="E197" s="1"/>
      <c r="F197" s="5">
        <f t="shared" si="81"/>
        <v>5.4651055214809405E-3</v>
      </c>
      <c r="G197" s="1"/>
      <c r="H197" s="1">
        <f>SUM(OSRRefH22_13x_0)</f>
        <v>4350</v>
      </c>
      <c r="I197" s="1"/>
      <c r="J197" s="5">
        <f t="shared" si="82"/>
        <v>8.4459295473564237E-3</v>
      </c>
      <c r="K197" s="1"/>
      <c r="L197" s="1">
        <f t="shared" si="83"/>
        <v>-1000</v>
      </c>
      <c r="M197" s="1"/>
      <c r="N197" s="5">
        <f t="shared" si="84"/>
        <v>-0.22988505747126436</v>
      </c>
      <c r="O197" s="13"/>
      <c r="P197" s="1">
        <f>SUM(OSRRefP22_13x_0)</f>
        <v>35150</v>
      </c>
      <c r="Q197" s="1"/>
      <c r="R197" s="5">
        <f t="shared" si="85"/>
        <v>5.593811612841071E-3</v>
      </c>
      <c r="S197" s="1"/>
      <c r="T197" s="1">
        <f>SUM(OSRRefT22_13x_0)</f>
        <v>44150</v>
      </c>
      <c r="U197" s="1"/>
      <c r="V197" s="5">
        <f t="shared" si="86"/>
        <v>4.6213676338252288E-3</v>
      </c>
      <c r="W197" s="1"/>
      <c r="X197" s="1">
        <f t="shared" si="87"/>
        <v>-9000</v>
      </c>
      <c r="Y197" s="1"/>
      <c r="Z197" s="5">
        <f t="shared" si="88"/>
        <v>-0.20385050962627407</v>
      </c>
    </row>
    <row r="198" spans="1:26" s="24" customFormat="1" hidden="1" outlineLevel="2" x14ac:dyDescent="0.25">
      <c r="A198" s="26"/>
      <c r="B198" s="11" t="str">
        <f>CONCATENATE("          ", "6408", " - ", "INVENTORY ADJUSTMENT")</f>
        <v xml:space="preserve">          6408 - INVENTORY ADJUSTMENT</v>
      </c>
      <c r="C198" s="11"/>
      <c r="D198" s="7">
        <v>3350</v>
      </c>
      <c r="E198" s="2"/>
      <c r="F198" s="6">
        <f t="shared" si="81"/>
        <v>5.4651055214809405E-3</v>
      </c>
      <c r="G198" s="2"/>
      <c r="H198" s="7">
        <v>4350</v>
      </c>
      <c r="I198" s="2"/>
      <c r="J198" s="6">
        <f t="shared" si="82"/>
        <v>8.4459295473564237E-3</v>
      </c>
      <c r="K198" s="2"/>
      <c r="L198" s="7">
        <f t="shared" si="83"/>
        <v>-1000</v>
      </c>
      <c r="M198" s="2"/>
      <c r="N198" s="6">
        <f t="shared" si="84"/>
        <v>-0.22988505747126436</v>
      </c>
      <c r="O198" s="11"/>
      <c r="P198" s="7">
        <v>35150</v>
      </c>
      <c r="Q198" s="2"/>
      <c r="R198" s="6">
        <f t="shared" si="85"/>
        <v>5.593811612841071E-3</v>
      </c>
      <c r="S198" s="2"/>
      <c r="T198" s="7">
        <v>44150</v>
      </c>
      <c r="U198" s="2"/>
      <c r="V198" s="6">
        <f t="shared" si="86"/>
        <v>4.6213676338252288E-3</v>
      </c>
      <c r="W198" s="2"/>
      <c r="X198" s="7">
        <f t="shared" si="87"/>
        <v>-9000</v>
      </c>
      <c r="Y198" s="2"/>
      <c r="Z198" s="6">
        <f t="shared" si="88"/>
        <v>-0.20385050962627407</v>
      </c>
    </row>
    <row r="199" spans="1:26" s="24" customFormat="1" hidden="1" outlineLevel="2" x14ac:dyDescent="0.25">
      <c r="A199" s="26"/>
      <c r="B199" s="11" t="str">
        <f>CONCATENATE("          ", "7741", " - ", "INV. SHRINKAGE-LOGO GIFTS")</f>
        <v xml:space="preserve">          7741 - INV. SHRINKAGE-LOGO GIFTS</v>
      </c>
      <c r="C199" s="11"/>
      <c r="D199" s="7"/>
      <c r="E199" s="2"/>
      <c r="F199" s="6">
        <f t="shared" si="81"/>
        <v>0</v>
      </c>
      <c r="G199" s="2"/>
      <c r="H199" s="7"/>
      <c r="I199" s="2"/>
      <c r="J199" s="6">
        <f t="shared" si="82"/>
        <v>0</v>
      </c>
      <c r="K199" s="2"/>
      <c r="L199" s="7">
        <f t="shared" si="83"/>
        <v>0</v>
      </c>
      <c r="M199" s="2"/>
      <c r="N199" s="6">
        <f t="shared" si="84"/>
        <v>0</v>
      </c>
      <c r="O199" s="11"/>
      <c r="P199" s="7">
        <v>0</v>
      </c>
      <c r="Q199" s="2"/>
      <c r="R199" s="6">
        <f t="shared" si="85"/>
        <v>0</v>
      </c>
      <c r="S199" s="2"/>
      <c r="T199" s="7"/>
      <c r="U199" s="2"/>
      <c r="V199" s="6">
        <f t="shared" si="86"/>
        <v>0</v>
      </c>
      <c r="W199" s="2"/>
      <c r="X199" s="7">
        <f t="shared" si="87"/>
        <v>0</v>
      </c>
      <c r="Y199" s="2"/>
      <c r="Z199" s="6">
        <f t="shared" si="88"/>
        <v>0</v>
      </c>
    </row>
    <row r="200" spans="1:26" s="25" customFormat="1" outlineLevel="1" collapsed="1" x14ac:dyDescent="0.25">
      <c r="A200" s="27"/>
      <c r="B200" s="13" t="str">
        <f>CONCATENATE("     ","Professional Services                             ")</f>
        <v xml:space="preserve">     Professional Services                             </v>
      </c>
      <c r="C200" s="13"/>
      <c r="D200" s="1">
        <f>SUM(OSRRefD22_14x_0)</f>
        <v>0</v>
      </c>
      <c r="E200" s="1"/>
      <c r="F200" s="5">
        <f t="shared" ref="F200:F208" si="89">IF(D$12=0,0,D200/D$12)</f>
        <v>0</v>
      </c>
      <c r="G200" s="1"/>
      <c r="H200" s="1">
        <f>SUM(OSRRefH22_14x_0)</f>
        <v>0</v>
      </c>
      <c r="I200" s="1"/>
      <c r="J200" s="5">
        <f t="shared" ref="J200:J208" si="90">IF(H$12=0,0,H200/H$12)</f>
        <v>0</v>
      </c>
      <c r="K200" s="1"/>
      <c r="L200" s="1">
        <f t="shared" ref="L200:L208" si="91">+D200-H200</f>
        <v>0</v>
      </c>
      <c r="M200" s="1"/>
      <c r="N200" s="5">
        <f t="shared" ref="N200:N208" si="92">IF(H200=0,0,L200/H200)</f>
        <v>0</v>
      </c>
      <c r="O200" s="13"/>
      <c r="P200" s="1">
        <f>SUM(OSRRefP22_14x_0)</f>
        <v>0</v>
      </c>
      <c r="Q200" s="1"/>
      <c r="R200" s="5">
        <f t="shared" ref="R200:R208" si="93">IF(P$12=0,0,P200/P$12)</f>
        <v>0</v>
      </c>
      <c r="S200" s="1"/>
      <c r="T200" s="1">
        <f>SUM(OSRRefT22_14x_0)</f>
        <v>7050</v>
      </c>
      <c r="U200" s="1"/>
      <c r="V200" s="5">
        <f t="shared" ref="V200:V208" si="94">IF(T$12=0,0,T200/T$12)</f>
        <v>7.3795338207175234E-4</v>
      </c>
      <c r="W200" s="1"/>
      <c r="X200" s="1">
        <f t="shared" ref="X200:X208" si="95">+P200-T200</f>
        <v>-7050</v>
      </c>
      <c r="Y200" s="1"/>
      <c r="Z200" s="5">
        <f t="shared" ref="Z200:Z208" si="96">IF(T200=0,0,X200/T200)</f>
        <v>-1</v>
      </c>
    </row>
    <row r="201" spans="1:26" s="24" customFormat="1" hidden="1" outlineLevel="2" x14ac:dyDescent="0.25">
      <c r="A201" s="26"/>
      <c r="B201" s="11" t="str">
        <f>CONCATENATE("          ", "6336", " - ", "PROFESSIONAL SERVICES")</f>
        <v xml:space="preserve">          6336 - PROFESSIONAL SERVICES</v>
      </c>
      <c r="C201" s="11"/>
      <c r="D201" s="7"/>
      <c r="E201" s="2"/>
      <c r="F201" s="6">
        <f t="shared" si="89"/>
        <v>0</v>
      </c>
      <c r="G201" s="2"/>
      <c r="H201" s="7">
        <v>0</v>
      </c>
      <c r="I201" s="2"/>
      <c r="J201" s="6">
        <f t="shared" si="90"/>
        <v>0</v>
      </c>
      <c r="K201" s="2"/>
      <c r="L201" s="7">
        <f t="shared" si="91"/>
        <v>0</v>
      </c>
      <c r="M201" s="2"/>
      <c r="N201" s="6">
        <f t="shared" si="92"/>
        <v>0</v>
      </c>
      <c r="O201" s="11"/>
      <c r="P201" s="7"/>
      <c r="Q201" s="2"/>
      <c r="R201" s="6">
        <f t="shared" si="93"/>
        <v>0</v>
      </c>
      <c r="S201" s="2"/>
      <c r="T201" s="7">
        <v>7050</v>
      </c>
      <c r="U201" s="2"/>
      <c r="V201" s="6">
        <f t="shared" si="94"/>
        <v>7.3795338207175234E-4</v>
      </c>
      <c r="W201" s="2"/>
      <c r="X201" s="7">
        <f t="shared" si="95"/>
        <v>-7050</v>
      </c>
      <c r="Y201" s="2"/>
      <c r="Z201" s="6">
        <f t="shared" si="96"/>
        <v>-1</v>
      </c>
    </row>
    <row r="202" spans="1:26" s="25" customFormat="1" outlineLevel="1" collapsed="1" x14ac:dyDescent="0.25">
      <c r="A202" s="27"/>
      <c r="B202" s="13" t="str">
        <f>CONCATENATE("     ","Rent                                              ")</f>
        <v xml:space="preserve">     Rent                                              </v>
      </c>
      <c r="C202" s="13"/>
      <c r="D202" s="1">
        <f>SUM(OSRRefD22_15x_0)</f>
        <v>6100</v>
      </c>
      <c r="E202" s="1"/>
      <c r="F202" s="5">
        <f t="shared" si="89"/>
        <v>9.9513861734429072E-3</v>
      </c>
      <c r="G202" s="1"/>
      <c r="H202" s="1">
        <f>SUM(OSRRefH22_15x_0)</f>
        <v>6100</v>
      </c>
      <c r="I202" s="1"/>
      <c r="J202" s="5">
        <f t="shared" si="90"/>
        <v>1.1843717296292916E-2</v>
      </c>
      <c r="K202" s="1"/>
      <c r="L202" s="1">
        <f t="shared" si="91"/>
        <v>0</v>
      </c>
      <c r="M202" s="1"/>
      <c r="N202" s="5">
        <f t="shared" si="92"/>
        <v>0</v>
      </c>
      <c r="O202" s="13"/>
      <c r="P202" s="1">
        <f>SUM(OSRRefP22_15x_0)</f>
        <v>54900</v>
      </c>
      <c r="Q202" s="1"/>
      <c r="R202" s="5">
        <f t="shared" si="93"/>
        <v>8.7368494322894678E-3</v>
      </c>
      <c r="S202" s="1"/>
      <c r="T202" s="1">
        <f>SUM(OSRRefT22_15x_0)</f>
        <v>54901</v>
      </c>
      <c r="U202" s="1"/>
      <c r="V202" s="5">
        <f t="shared" si="94"/>
        <v>5.7467203729250037E-3</v>
      </c>
      <c r="W202" s="1"/>
      <c r="X202" s="1">
        <f t="shared" si="95"/>
        <v>-1</v>
      </c>
      <c r="Y202" s="1"/>
      <c r="Z202" s="5">
        <f t="shared" si="96"/>
        <v>-1.8214604469863936E-5</v>
      </c>
    </row>
    <row r="203" spans="1:26" s="24" customFormat="1" hidden="1" outlineLevel="2" x14ac:dyDescent="0.25">
      <c r="A203" s="26"/>
      <c r="B203" s="11" t="str">
        <f>CONCATENATE("          ", "6273", " - ", "RENT")</f>
        <v xml:space="preserve">          6273 - RENT</v>
      </c>
      <c r="C203" s="11"/>
      <c r="D203" s="7">
        <v>6100</v>
      </c>
      <c r="E203" s="2"/>
      <c r="F203" s="6">
        <f t="shared" si="89"/>
        <v>9.9513861734429072E-3</v>
      </c>
      <c r="G203" s="2"/>
      <c r="H203" s="7">
        <v>6100</v>
      </c>
      <c r="I203" s="2"/>
      <c r="J203" s="6">
        <f t="shared" si="90"/>
        <v>1.1843717296292916E-2</v>
      </c>
      <c r="K203" s="2"/>
      <c r="L203" s="7">
        <f t="shared" si="91"/>
        <v>0</v>
      </c>
      <c r="M203" s="2"/>
      <c r="N203" s="6">
        <f t="shared" si="92"/>
        <v>0</v>
      </c>
      <c r="O203" s="11"/>
      <c r="P203" s="7">
        <v>54900</v>
      </c>
      <c r="Q203" s="2"/>
      <c r="R203" s="6">
        <f t="shared" si="93"/>
        <v>8.7368494322894678E-3</v>
      </c>
      <c r="S203" s="2"/>
      <c r="T203" s="7">
        <v>54901</v>
      </c>
      <c r="U203" s="2"/>
      <c r="V203" s="6">
        <f t="shared" si="94"/>
        <v>5.7467203729250037E-3</v>
      </c>
      <c r="W203" s="2"/>
      <c r="X203" s="7">
        <f t="shared" si="95"/>
        <v>-1</v>
      </c>
      <c r="Y203" s="2"/>
      <c r="Z203" s="6">
        <f t="shared" si="96"/>
        <v>-1.8214604469863936E-5</v>
      </c>
    </row>
    <row r="204" spans="1:26" s="25" customFormat="1" outlineLevel="1" collapsed="1" x14ac:dyDescent="0.25">
      <c r="A204" s="27"/>
      <c r="B204" s="13" t="str">
        <f>CONCATENATE("     ","Repair and Maintenance                            ")</f>
        <v xml:space="preserve">     Repair and Maintenance                            </v>
      </c>
      <c r="C204" s="13"/>
      <c r="D204" s="1">
        <f>SUM(OSRRefD22_16x_0)</f>
        <v>3023.46</v>
      </c>
      <c r="E204" s="1"/>
      <c r="F204" s="5">
        <f t="shared" si="89"/>
        <v>4.9323963999930642E-3</v>
      </c>
      <c r="G204" s="1"/>
      <c r="H204" s="1">
        <f>SUM(OSRRefH22_16x_0)</f>
        <v>19460</v>
      </c>
      <c r="I204" s="1"/>
      <c r="J204" s="5">
        <f t="shared" si="90"/>
        <v>3.7783399768173798E-2</v>
      </c>
      <c r="K204" s="1"/>
      <c r="L204" s="1">
        <f t="shared" si="91"/>
        <v>-16436.54</v>
      </c>
      <c r="M204" s="1"/>
      <c r="N204" s="5">
        <f t="shared" si="92"/>
        <v>-0.84463206577595074</v>
      </c>
      <c r="O204" s="13"/>
      <c r="P204" s="1">
        <f>SUM(OSRRefP22_16x_0)</f>
        <v>131979.85999999999</v>
      </c>
      <c r="Q204" s="1"/>
      <c r="R204" s="5">
        <f t="shared" si="93"/>
        <v>2.1003427411924284E-2</v>
      </c>
      <c r="S204" s="1"/>
      <c r="T204" s="1">
        <f>SUM(OSRRefT22_16x_0)</f>
        <v>180895</v>
      </c>
      <c r="U204" s="1"/>
      <c r="V204" s="5">
        <f t="shared" si="94"/>
        <v>1.8935046390052432E-2</v>
      </c>
      <c r="W204" s="1"/>
      <c r="X204" s="1">
        <f t="shared" si="95"/>
        <v>-48915.140000000014</v>
      </c>
      <c r="Y204" s="1"/>
      <c r="Z204" s="5">
        <f t="shared" si="96"/>
        <v>-0.2704062577738468</v>
      </c>
    </row>
    <row r="205" spans="1:26" s="24" customFormat="1" hidden="1" outlineLevel="2" x14ac:dyDescent="0.25">
      <c r="A205" s="26"/>
      <c r="B205" s="11" t="str">
        <f>CONCATENATE("          ", "6371", " - ", "COMPUTER SOFTWARE MAINTENANCE")</f>
        <v xml:space="preserve">          6371 - COMPUTER SOFTWARE MAINTENANCE</v>
      </c>
      <c r="C205" s="11"/>
      <c r="D205" s="7">
        <v>1550</v>
      </c>
      <c r="E205" s="2"/>
      <c r="F205" s="6">
        <f t="shared" si="89"/>
        <v>2.5286309129240172E-3</v>
      </c>
      <c r="G205" s="2"/>
      <c r="H205" s="7"/>
      <c r="I205" s="2"/>
      <c r="J205" s="6">
        <f t="shared" si="90"/>
        <v>0</v>
      </c>
      <c r="K205" s="2"/>
      <c r="L205" s="7">
        <f t="shared" si="91"/>
        <v>1550</v>
      </c>
      <c r="M205" s="2"/>
      <c r="N205" s="6">
        <f t="shared" si="92"/>
        <v>0</v>
      </c>
      <c r="O205" s="11"/>
      <c r="P205" s="7">
        <v>61317.72</v>
      </c>
      <c r="Q205" s="2"/>
      <c r="R205" s="6">
        <f t="shared" si="93"/>
        <v>9.75817280822012E-3</v>
      </c>
      <c r="S205" s="2"/>
      <c r="T205" s="7">
        <v>45000</v>
      </c>
      <c r="U205" s="2"/>
      <c r="V205" s="6">
        <f t="shared" si="94"/>
        <v>4.7103407366282058E-3</v>
      </c>
      <c r="W205" s="2"/>
      <c r="X205" s="7">
        <f t="shared" si="95"/>
        <v>16317.720000000001</v>
      </c>
      <c r="Y205" s="2"/>
      <c r="Z205" s="6">
        <f t="shared" si="96"/>
        <v>0.36261600000000005</v>
      </c>
    </row>
    <row r="206" spans="1:26" s="24" customFormat="1" hidden="1" outlineLevel="2" x14ac:dyDescent="0.25">
      <c r="A206" s="26"/>
      <c r="B206" s="11" t="str">
        <f>CONCATENATE("          ", "6372", " - ", "COMPUTER HARDWARE MAINTENANCE")</f>
        <v xml:space="preserve">          6372 - COMPUTER HARDWARE MAINTENANCE</v>
      </c>
      <c r="C206" s="11"/>
      <c r="D206" s="7"/>
      <c r="E206" s="2"/>
      <c r="F206" s="6">
        <f t="shared" si="89"/>
        <v>0</v>
      </c>
      <c r="G206" s="2"/>
      <c r="H206" s="7"/>
      <c r="I206" s="2"/>
      <c r="J206" s="6">
        <f t="shared" si="90"/>
        <v>0</v>
      </c>
      <c r="K206" s="2"/>
      <c r="L206" s="7">
        <f t="shared" si="91"/>
        <v>0</v>
      </c>
      <c r="M206" s="2"/>
      <c r="N206" s="6">
        <f t="shared" si="92"/>
        <v>0</v>
      </c>
      <c r="O206" s="11"/>
      <c r="P206" s="7">
        <v>-1.1499999999999999</v>
      </c>
      <c r="Q206" s="2"/>
      <c r="R206" s="6">
        <f t="shared" si="93"/>
        <v>-1.8301232872737498E-7</v>
      </c>
      <c r="S206" s="2"/>
      <c r="T206" s="7"/>
      <c r="U206" s="2"/>
      <c r="V206" s="6">
        <f t="shared" si="94"/>
        <v>0</v>
      </c>
      <c r="W206" s="2"/>
      <c r="X206" s="7">
        <f t="shared" si="95"/>
        <v>-1.1499999999999999</v>
      </c>
      <c r="Y206" s="2"/>
      <c r="Z206" s="6">
        <f t="shared" si="96"/>
        <v>0</v>
      </c>
    </row>
    <row r="207" spans="1:26" s="24" customFormat="1" hidden="1" outlineLevel="2" x14ac:dyDescent="0.25">
      <c r="A207" s="26"/>
      <c r="B207" s="11" t="str">
        <f>CONCATENATE("          ", "6373", " - ", "MAINTENANCE CONTRACTS")</f>
        <v xml:space="preserve">          6373 - MAINTENANCE CONTRACTS</v>
      </c>
      <c r="C207" s="11"/>
      <c r="D207" s="7">
        <v>1262.9000000000001</v>
      </c>
      <c r="E207" s="2"/>
      <c r="F207" s="6">
        <f t="shared" si="89"/>
        <v>2.0602632128591883E-3</v>
      </c>
      <c r="G207" s="2"/>
      <c r="H207" s="7">
        <v>11040</v>
      </c>
      <c r="I207" s="2"/>
      <c r="J207" s="6">
        <f t="shared" si="90"/>
        <v>2.1435186713290786E-2</v>
      </c>
      <c r="K207" s="2"/>
      <c r="L207" s="7">
        <f t="shared" si="91"/>
        <v>-9777.1</v>
      </c>
      <c r="M207" s="2"/>
      <c r="N207" s="6">
        <f t="shared" si="92"/>
        <v>-0.88560688405797106</v>
      </c>
      <c r="O207" s="11"/>
      <c r="P207" s="7">
        <v>44689.58</v>
      </c>
      <c r="Q207" s="2"/>
      <c r="R207" s="6">
        <f t="shared" si="93"/>
        <v>7.1119513962159342E-3</v>
      </c>
      <c r="S207" s="2"/>
      <c r="T207" s="7">
        <v>59760</v>
      </c>
      <c r="U207" s="2"/>
      <c r="V207" s="6">
        <f t="shared" si="94"/>
        <v>6.2553324982422579E-3</v>
      </c>
      <c r="W207" s="2"/>
      <c r="X207" s="7">
        <f t="shared" si="95"/>
        <v>-15070.419999999998</v>
      </c>
      <c r="Y207" s="2"/>
      <c r="Z207" s="6">
        <f t="shared" si="96"/>
        <v>-0.25218239625167332</v>
      </c>
    </row>
    <row r="208" spans="1:26" s="24" customFormat="1" hidden="1" outlineLevel="2" x14ac:dyDescent="0.25">
      <c r="A208" s="26"/>
      <c r="B208" s="11" t="str">
        <f>CONCATENATE("          ", "6375", " - ", "OUTSIDE REPAIRS &amp; MAINTENANCE")</f>
        <v xml:space="preserve">          6375 - OUTSIDE REPAIRS &amp; MAINTENANCE</v>
      </c>
      <c r="C208" s="11"/>
      <c r="D208" s="7">
        <v>210.56</v>
      </c>
      <c r="E208" s="2"/>
      <c r="F208" s="6">
        <f t="shared" si="89"/>
        <v>3.4350227420985874E-4</v>
      </c>
      <c r="G208" s="2"/>
      <c r="H208" s="7">
        <v>8420</v>
      </c>
      <c r="I208" s="2"/>
      <c r="J208" s="6">
        <f t="shared" si="90"/>
        <v>1.6348213054883008E-2</v>
      </c>
      <c r="K208" s="2"/>
      <c r="L208" s="7">
        <f t="shared" si="91"/>
        <v>-8209.44</v>
      </c>
      <c r="M208" s="2"/>
      <c r="N208" s="6">
        <f t="shared" si="92"/>
        <v>-0.97499287410926372</v>
      </c>
      <c r="O208" s="11"/>
      <c r="P208" s="7">
        <v>25973.71</v>
      </c>
      <c r="Q208" s="2"/>
      <c r="R208" s="6">
        <f t="shared" si="93"/>
        <v>4.1334862198169628E-3</v>
      </c>
      <c r="S208" s="2"/>
      <c r="T208" s="7">
        <v>76135</v>
      </c>
      <c r="U208" s="2"/>
      <c r="V208" s="6">
        <f t="shared" si="94"/>
        <v>7.9693731551819663E-3</v>
      </c>
      <c r="W208" s="2"/>
      <c r="X208" s="7">
        <f t="shared" si="95"/>
        <v>-50161.29</v>
      </c>
      <c r="Y208" s="2"/>
      <c r="Z208" s="6">
        <f t="shared" si="96"/>
        <v>-0.65884665396992181</v>
      </c>
    </row>
    <row r="209" spans="1:26" s="25" customFormat="1" outlineLevel="1" collapsed="1" x14ac:dyDescent="0.25">
      <c r="A209" s="27"/>
      <c r="B209" s="13" t="str">
        <f>CONCATENATE("     ","Royalty &amp; Commissions                             ")</f>
        <v xml:space="preserve">     Royalty &amp; Commissions                             </v>
      </c>
      <c r="C209" s="13"/>
      <c r="D209" s="1">
        <f>SUM(OSRRefD22_17x_0)</f>
        <v>27.21</v>
      </c>
      <c r="E209" s="1"/>
      <c r="F209" s="5">
        <f t="shared" ref="F209:F213" si="97">IF(D$12=0,0,D209/D$12)</f>
        <v>4.4389707832685489E-5</v>
      </c>
      <c r="G209" s="1"/>
      <c r="H209" s="1">
        <f>SUM(OSRRefH22_17x_0)</f>
        <v>10471</v>
      </c>
      <c r="I209" s="1"/>
      <c r="J209" s="5">
        <f t="shared" ref="J209:J213" si="98">IF(H$12=0,0,H209/H$12)</f>
        <v>2.0330420296636578E-2</v>
      </c>
      <c r="K209" s="1"/>
      <c r="L209" s="1">
        <f t="shared" ref="L209:L213" si="99">+D209-H209</f>
        <v>-10443.790000000001</v>
      </c>
      <c r="M209" s="1"/>
      <c r="N209" s="5">
        <f t="shared" ref="N209:N213" si="100">IF(H209=0,0,L209/H209)</f>
        <v>-0.99740139432718944</v>
      </c>
      <c r="O209" s="13"/>
      <c r="P209" s="1">
        <f>SUM(OSRRefP22_17x_0)</f>
        <v>36861.200000000004</v>
      </c>
      <c r="Q209" s="1"/>
      <c r="R209" s="5">
        <f t="shared" ref="R209:R213" si="101">IF(P$12=0,0,P209/P$12)</f>
        <v>5.8661339579874055E-3</v>
      </c>
      <c r="S209" s="1"/>
      <c r="T209" s="1">
        <f>SUM(OSRRefT22_17x_0)</f>
        <v>79989</v>
      </c>
      <c r="U209" s="1"/>
      <c r="V209" s="5">
        <f t="shared" ref="V209:V213" si="102">IF(T$12=0,0,T209/T$12)</f>
        <v>8.3727876707145234E-3</v>
      </c>
      <c r="W209" s="1"/>
      <c r="X209" s="1">
        <f t="shared" ref="X209:X213" si="103">+P209-T209</f>
        <v>-43127.799999999996</v>
      </c>
      <c r="Y209" s="1"/>
      <c r="Z209" s="5">
        <f t="shared" ref="Z209:Z213" si="104">IF(T209=0,0,X209/T209)</f>
        <v>-0.53917163609996366</v>
      </c>
    </row>
    <row r="210" spans="1:26" s="24" customFormat="1" hidden="1" outlineLevel="2" x14ac:dyDescent="0.25">
      <c r="A210" s="26"/>
      <c r="B210" s="11" t="str">
        <f>CONCATENATE("          ", "6252", " - ", "ROYALTY DUE CSTV")</f>
        <v xml:space="preserve">          6252 - ROYALTY DUE CSTV</v>
      </c>
      <c r="C210" s="11"/>
      <c r="D210" s="7"/>
      <c r="E210" s="2"/>
      <c r="F210" s="6">
        <f t="shared" si="97"/>
        <v>0</v>
      </c>
      <c r="G210" s="2"/>
      <c r="H210" s="7">
        <v>1085</v>
      </c>
      <c r="I210" s="2"/>
      <c r="J210" s="6">
        <f t="shared" si="98"/>
        <v>2.1066284043406254E-3</v>
      </c>
      <c r="K210" s="2"/>
      <c r="L210" s="7">
        <f t="shared" si="99"/>
        <v>-1085</v>
      </c>
      <c r="M210" s="2"/>
      <c r="N210" s="6">
        <f t="shared" si="100"/>
        <v>-1</v>
      </c>
      <c r="O210" s="11"/>
      <c r="P210" s="7"/>
      <c r="Q210" s="2"/>
      <c r="R210" s="6">
        <f t="shared" si="101"/>
        <v>0</v>
      </c>
      <c r="S210" s="2"/>
      <c r="T210" s="7">
        <v>9765</v>
      </c>
      <c r="U210" s="2"/>
      <c r="V210" s="6">
        <f t="shared" si="102"/>
        <v>1.0221439398483208E-3</v>
      </c>
      <c r="W210" s="2"/>
      <c r="X210" s="7">
        <f t="shared" si="103"/>
        <v>-9765</v>
      </c>
      <c r="Y210" s="2"/>
      <c r="Z210" s="6">
        <f t="shared" si="104"/>
        <v>-1</v>
      </c>
    </row>
    <row r="211" spans="1:26" s="24" customFormat="1" hidden="1" outlineLevel="2" x14ac:dyDescent="0.25">
      <c r="A211" s="26"/>
      <c r="B211" s="11" t="str">
        <f>CONCATENATE("          ", "6253", " - ", "ROYALTY DUE ATHLETICS-LRG")</f>
        <v xml:space="preserve">          6253 - ROYALTY DUE ATHLETICS-LRG</v>
      </c>
      <c r="C211" s="11"/>
      <c r="D211" s="7"/>
      <c r="E211" s="2"/>
      <c r="F211" s="6">
        <f t="shared" si="97"/>
        <v>0</v>
      </c>
      <c r="G211" s="2"/>
      <c r="H211" s="7">
        <v>4037</v>
      </c>
      <c r="I211" s="2"/>
      <c r="J211" s="6">
        <f t="shared" si="98"/>
        <v>7.8382109385466397E-3</v>
      </c>
      <c r="K211" s="2"/>
      <c r="L211" s="7">
        <f t="shared" si="99"/>
        <v>-4037</v>
      </c>
      <c r="M211" s="2"/>
      <c r="N211" s="6">
        <f t="shared" si="100"/>
        <v>-1</v>
      </c>
      <c r="O211" s="11"/>
      <c r="P211" s="7">
        <v>26197.58</v>
      </c>
      <c r="Q211" s="2"/>
      <c r="R211" s="6">
        <f t="shared" si="101"/>
        <v>4.1691131502797438E-3</v>
      </c>
      <c r="S211" s="2"/>
      <c r="T211" s="7">
        <v>36333</v>
      </c>
      <c r="U211" s="2"/>
      <c r="V211" s="6">
        <f t="shared" si="102"/>
        <v>3.8031291107536139E-3</v>
      </c>
      <c r="W211" s="2"/>
      <c r="X211" s="7">
        <f t="shared" si="103"/>
        <v>-10135.419999999998</v>
      </c>
      <c r="Y211" s="2"/>
      <c r="Z211" s="6">
        <f t="shared" si="104"/>
        <v>-0.27895907301901846</v>
      </c>
    </row>
    <row r="212" spans="1:26" s="24" customFormat="1" hidden="1" outlineLevel="2" x14ac:dyDescent="0.25">
      <c r="A212" s="26"/>
      <c r="B212" s="11" t="str">
        <f>CONCATENATE("          ", "6254", " - ", "ROYALTY &amp; COMMISSIONS")</f>
        <v xml:space="preserve">          6254 - ROYALTY &amp; COMMISSIONS</v>
      </c>
      <c r="C212" s="11"/>
      <c r="D212" s="7"/>
      <c r="E212" s="2"/>
      <c r="F212" s="6">
        <f t="shared" si="97"/>
        <v>0</v>
      </c>
      <c r="G212" s="2"/>
      <c r="H212" s="7">
        <v>1149</v>
      </c>
      <c r="I212" s="2"/>
      <c r="J212" s="6">
        <f t="shared" si="98"/>
        <v>2.2308903563017313E-3</v>
      </c>
      <c r="K212" s="2"/>
      <c r="L212" s="7">
        <f t="shared" si="99"/>
        <v>-1149</v>
      </c>
      <c r="M212" s="2"/>
      <c r="N212" s="6">
        <f t="shared" si="100"/>
        <v>-1</v>
      </c>
      <c r="O212" s="11"/>
      <c r="P212" s="7"/>
      <c r="Q212" s="2"/>
      <c r="R212" s="6">
        <f t="shared" si="101"/>
        <v>0</v>
      </c>
      <c r="S212" s="2"/>
      <c r="T212" s="7">
        <v>10341</v>
      </c>
      <c r="U212" s="2"/>
      <c r="V212" s="6">
        <f t="shared" si="102"/>
        <v>1.0824363012771618E-3</v>
      </c>
      <c r="W212" s="2"/>
      <c r="X212" s="7">
        <f t="shared" si="103"/>
        <v>-10341</v>
      </c>
      <c r="Y212" s="2"/>
      <c r="Z212" s="6">
        <f t="shared" si="104"/>
        <v>-1</v>
      </c>
    </row>
    <row r="213" spans="1:26" s="24" customFormat="1" hidden="1" outlineLevel="2" x14ac:dyDescent="0.25">
      <c r="A213" s="26"/>
      <c r="B213" s="11" t="str">
        <f>CONCATENATE("          ", "6259", " - ", "ROYALTY &amp; COMMISSIONS")</f>
        <v xml:space="preserve">          6259 - ROYALTY &amp; COMMISSIONS</v>
      </c>
      <c r="C213" s="11"/>
      <c r="D213" s="7">
        <v>27.21</v>
      </c>
      <c r="E213" s="2"/>
      <c r="F213" s="6">
        <f t="shared" si="97"/>
        <v>4.4389707832685489E-5</v>
      </c>
      <c r="G213" s="2"/>
      <c r="H213" s="7">
        <v>4200</v>
      </c>
      <c r="I213" s="2"/>
      <c r="J213" s="6">
        <f t="shared" si="98"/>
        <v>8.1546905974475819E-3</v>
      </c>
      <c r="K213" s="2"/>
      <c r="L213" s="7">
        <f t="shared" si="99"/>
        <v>-4172.79</v>
      </c>
      <c r="M213" s="2"/>
      <c r="N213" s="6">
        <f t="shared" si="100"/>
        <v>-0.99352142857142856</v>
      </c>
      <c r="O213" s="11"/>
      <c r="P213" s="7">
        <v>10663.62</v>
      </c>
      <c r="Q213" s="2"/>
      <c r="R213" s="6">
        <f t="shared" si="101"/>
        <v>1.6970208077076616E-3</v>
      </c>
      <c r="S213" s="2"/>
      <c r="T213" s="7">
        <v>23550</v>
      </c>
      <c r="U213" s="2"/>
      <c r="V213" s="6">
        <f t="shared" si="102"/>
        <v>2.465078318835428E-3</v>
      </c>
      <c r="W213" s="2"/>
      <c r="X213" s="7">
        <f t="shared" si="103"/>
        <v>-12886.38</v>
      </c>
      <c r="Y213" s="2"/>
      <c r="Z213" s="6">
        <f t="shared" si="104"/>
        <v>-0.54719235668789801</v>
      </c>
    </row>
    <row r="214" spans="1:26" s="25" customFormat="1" outlineLevel="1" collapsed="1" x14ac:dyDescent="0.25">
      <c r="A214" s="27"/>
      <c r="B214" s="13" t="str">
        <f>CONCATENATE("     ","Services                                          ")</f>
        <v xml:space="preserve">     Services                                          </v>
      </c>
      <c r="C214" s="13"/>
      <c r="D214" s="1">
        <f>SUM(OSRRefD22_18x_0)</f>
        <v>7475.7699999999995</v>
      </c>
      <c r="E214" s="1"/>
      <c r="F214" s="5">
        <f t="shared" ref="F214:F218" si="105">IF(D$12=0,0,D214/D$12)</f>
        <v>1.2195782658006438E-2</v>
      </c>
      <c r="G214" s="1"/>
      <c r="H214" s="1">
        <f>SUM(OSRRefH22_18x_0)</f>
        <v>4784</v>
      </c>
      <c r="I214" s="1"/>
      <c r="J214" s="5">
        <f t="shared" ref="J214:J218" si="106">IF(H$12=0,0,H214/H$12)</f>
        <v>9.2885809090926738E-3</v>
      </c>
      <c r="K214" s="1"/>
      <c r="L214" s="1">
        <f t="shared" ref="L214:L218" si="107">+D214-H214</f>
        <v>2691.7699999999995</v>
      </c>
      <c r="M214" s="1"/>
      <c r="N214" s="5">
        <f t="shared" ref="N214:N218" si="108">IF(H214=0,0,L214/H214)</f>
        <v>0.56266095317725739</v>
      </c>
      <c r="O214" s="13"/>
      <c r="P214" s="1">
        <f>SUM(OSRRefP22_18x_0)</f>
        <v>36137.660000000003</v>
      </c>
      <c r="Q214" s="1"/>
      <c r="R214" s="5">
        <f t="shared" ref="R214:R218" si="109">IF(P$12=0,0,P214/P$12)</f>
        <v>5.7509889663983575E-3</v>
      </c>
      <c r="S214" s="1"/>
      <c r="T214" s="1">
        <f>SUM(OSRRefT22_18x_0)</f>
        <v>42777</v>
      </c>
      <c r="U214" s="1"/>
      <c r="V214" s="5">
        <f t="shared" ref="V214:V218" si="110">IF(T$12=0,0,T214/T$12)</f>
        <v>4.4776499042387726E-3</v>
      </c>
      <c r="W214" s="1"/>
      <c r="X214" s="1">
        <f t="shared" ref="X214:X218" si="111">+P214-T214</f>
        <v>-6639.3399999999965</v>
      </c>
      <c r="Y214" s="1"/>
      <c r="Z214" s="5">
        <f t="shared" ref="Z214:Z218" si="112">IF(T214=0,0,X214/T214)</f>
        <v>-0.15520817261612541</v>
      </c>
    </row>
    <row r="215" spans="1:26" s="24" customFormat="1" hidden="1" outlineLevel="2" x14ac:dyDescent="0.25">
      <c r="A215" s="26"/>
      <c r="B215" s="11" t="str">
        <f>CONCATENATE("          ", "6282", " - ", "JANITORIAL/EXTERMINATOR EXPENS")</f>
        <v xml:space="preserve">          6282 - JANITORIAL/EXTERMINATOR EXPENS</v>
      </c>
      <c r="C215" s="11"/>
      <c r="D215" s="7">
        <v>453</v>
      </c>
      <c r="E215" s="2"/>
      <c r="F215" s="6">
        <f t="shared" si="105"/>
        <v>7.3901277648682562E-4</v>
      </c>
      <c r="G215" s="2"/>
      <c r="H215" s="7">
        <v>4000</v>
      </c>
      <c r="I215" s="2"/>
      <c r="J215" s="6">
        <f t="shared" si="106"/>
        <v>7.7663719975691256E-3</v>
      </c>
      <c r="K215" s="2"/>
      <c r="L215" s="7">
        <f t="shared" si="107"/>
        <v>-3547</v>
      </c>
      <c r="M215" s="2"/>
      <c r="N215" s="6">
        <f t="shared" si="108"/>
        <v>-0.88675000000000004</v>
      </c>
      <c r="O215" s="11"/>
      <c r="P215" s="7">
        <v>7406.12</v>
      </c>
      <c r="Q215" s="2"/>
      <c r="R215" s="6">
        <f t="shared" si="109"/>
        <v>1.1786184939429449E-3</v>
      </c>
      <c r="S215" s="2"/>
      <c r="T215" s="7">
        <v>36000</v>
      </c>
      <c r="U215" s="2"/>
      <c r="V215" s="6">
        <f t="shared" si="110"/>
        <v>3.7682725893025651E-3</v>
      </c>
      <c r="W215" s="2"/>
      <c r="X215" s="7">
        <f t="shared" si="111"/>
        <v>-28593.88</v>
      </c>
      <c r="Y215" s="2"/>
      <c r="Z215" s="6">
        <f t="shared" si="112"/>
        <v>-0.79427444444444451</v>
      </c>
    </row>
    <row r="216" spans="1:26" s="24" customFormat="1" hidden="1" outlineLevel="2" x14ac:dyDescent="0.25">
      <c r="A216" s="26"/>
      <c r="B216" s="11" t="str">
        <f>CONCATENATE("          ", "6283", " - ", "PLANT SERVICE")</f>
        <v xml:space="preserve">          6283 - PLANT SERVICE</v>
      </c>
      <c r="C216" s="11"/>
      <c r="D216" s="7"/>
      <c r="E216" s="2"/>
      <c r="F216" s="6">
        <f t="shared" si="105"/>
        <v>0</v>
      </c>
      <c r="G216" s="2"/>
      <c r="H216" s="7">
        <v>0</v>
      </c>
      <c r="I216" s="2"/>
      <c r="J216" s="6">
        <f t="shared" si="106"/>
        <v>0</v>
      </c>
      <c r="K216" s="2"/>
      <c r="L216" s="7">
        <f t="shared" si="107"/>
        <v>0</v>
      </c>
      <c r="M216" s="2"/>
      <c r="N216" s="6">
        <f t="shared" si="108"/>
        <v>0</v>
      </c>
      <c r="O216" s="11"/>
      <c r="P216" s="7">
        <v>171.31</v>
      </c>
      <c r="Q216" s="2"/>
      <c r="R216" s="6">
        <f t="shared" si="109"/>
        <v>2.7262471334162273E-5</v>
      </c>
      <c r="S216" s="2"/>
      <c r="T216" s="7">
        <v>0</v>
      </c>
      <c r="U216" s="2"/>
      <c r="V216" s="6">
        <f t="shared" si="110"/>
        <v>0</v>
      </c>
      <c r="W216" s="2"/>
      <c r="X216" s="7">
        <f t="shared" si="111"/>
        <v>171.31</v>
      </c>
      <c r="Y216" s="2"/>
      <c r="Z216" s="6">
        <f t="shared" si="112"/>
        <v>0</v>
      </c>
    </row>
    <row r="217" spans="1:26" s="24" customFormat="1" hidden="1" outlineLevel="2" x14ac:dyDescent="0.25">
      <c r="A217" s="26"/>
      <c r="B217" s="11" t="str">
        <f>CONCATENATE("          ", "6284", " - ", "TRASH REMOVAL EXPENSE")</f>
        <v xml:space="preserve">          6284 - TRASH REMOVAL EXPENSE</v>
      </c>
      <c r="C217" s="11"/>
      <c r="D217" s="7">
        <v>142.57</v>
      </c>
      <c r="E217" s="2"/>
      <c r="F217" s="6">
        <f t="shared" si="105"/>
        <v>2.3258510274553362E-4</v>
      </c>
      <c r="G217" s="2"/>
      <c r="H217" s="7">
        <v>110</v>
      </c>
      <c r="I217" s="2"/>
      <c r="J217" s="6">
        <f t="shared" si="106"/>
        <v>2.1357522993315094E-4</v>
      </c>
      <c r="K217" s="2"/>
      <c r="L217" s="7">
        <f t="shared" si="107"/>
        <v>32.569999999999993</v>
      </c>
      <c r="M217" s="2"/>
      <c r="N217" s="6">
        <f t="shared" si="108"/>
        <v>0.29609090909090902</v>
      </c>
      <c r="O217" s="11"/>
      <c r="P217" s="7">
        <v>1298.1500000000001</v>
      </c>
      <c r="Q217" s="2"/>
      <c r="R217" s="6">
        <f t="shared" si="109"/>
        <v>2.0658909090212336E-4</v>
      </c>
      <c r="S217" s="2"/>
      <c r="T217" s="7">
        <v>660</v>
      </c>
      <c r="U217" s="2"/>
      <c r="V217" s="6">
        <f t="shared" si="110"/>
        <v>6.9084997470547028E-5</v>
      </c>
      <c r="W217" s="2"/>
      <c r="X217" s="7">
        <f t="shared" si="111"/>
        <v>638.15000000000009</v>
      </c>
      <c r="Y217" s="2"/>
      <c r="Z217" s="6">
        <f t="shared" si="112"/>
        <v>0.96689393939393953</v>
      </c>
    </row>
    <row r="218" spans="1:26" s="24" customFormat="1" hidden="1" outlineLevel="2" x14ac:dyDescent="0.25">
      <c r="A218" s="26"/>
      <c r="B218" s="11" t="str">
        <f>CONCATENATE("          ", "6285", " - ", "JANITORIAL SERVICES")</f>
        <v xml:space="preserve">          6285 - JANITORIAL SERVICES</v>
      </c>
      <c r="C218" s="11"/>
      <c r="D218" s="7">
        <v>6880.2</v>
      </c>
      <c r="E218" s="2"/>
      <c r="F218" s="6">
        <f t="shared" si="105"/>
        <v>1.122418477877408E-2</v>
      </c>
      <c r="G218" s="2"/>
      <c r="H218" s="7">
        <v>674</v>
      </c>
      <c r="I218" s="2"/>
      <c r="J218" s="6">
        <f t="shared" si="106"/>
        <v>1.3086336815903976E-3</v>
      </c>
      <c r="K218" s="2"/>
      <c r="L218" s="7">
        <f t="shared" si="107"/>
        <v>6206.2</v>
      </c>
      <c r="M218" s="2"/>
      <c r="N218" s="6">
        <f t="shared" si="108"/>
        <v>9.2080118694362021</v>
      </c>
      <c r="O218" s="11"/>
      <c r="P218" s="7">
        <v>27262.080000000002</v>
      </c>
      <c r="Q218" s="2"/>
      <c r="R218" s="6">
        <f t="shared" si="109"/>
        <v>4.338518910219127E-3</v>
      </c>
      <c r="S218" s="2"/>
      <c r="T218" s="7">
        <v>6117</v>
      </c>
      <c r="U218" s="2"/>
      <c r="V218" s="6">
        <f t="shared" si="110"/>
        <v>6.4029231746566084E-4</v>
      </c>
      <c r="W218" s="2"/>
      <c r="X218" s="7">
        <f t="shared" si="111"/>
        <v>21145.08</v>
      </c>
      <c r="Y218" s="2"/>
      <c r="Z218" s="6">
        <f t="shared" si="112"/>
        <v>3.4567729279058366</v>
      </c>
    </row>
    <row r="219" spans="1:26" s="25" customFormat="1" outlineLevel="1" collapsed="1" x14ac:dyDescent="0.25">
      <c r="A219" s="27"/>
      <c r="B219" s="13" t="str">
        <f>CONCATENATE("     ","Subscriptions &amp; Dues                              ")</f>
        <v xml:space="preserve">     Subscriptions &amp; Dues                              </v>
      </c>
      <c r="C219" s="13"/>
      <c r="D219" s="1">
        <f>SUM(OSRRefD22_19x_0)</f>
        <v>307.78999999999996</v>
      </c>
      <c r="E219" s="1"/>
      <c r="F219" s="5">
        <f t="shared" ref="F219:F221" si="113">IF(D$12=0,0,D219/D$12)</f>
        <v>5.0212084431540849E-4</v>
      </c>
      <c r="G219" s="1"/>
      <c r="H219" s="1">
        <f>SUM(OSRRefH22_19x_0)</f>
        <v>1100</v>
      </c>
      <c r="I219" s="1"/>
      <c r="J219" s="5">
        <f t="shared" ref="J219:J221" si="114">IF(H$12=0,0,H219/H$12)</f>
        <v>2.1357522993315095E-3</v>
      </c>
      <c r="K219" s="1"/>
      <c r="L219" s="1">
        <f t="shared" ref="L219:L221" si="115">+D219-H219</f>
        <v>-792.21</v>
      </c>
      <c r="M219" s="1"/>
      <c r="N219" s="5">
        <f t="shared" ref="N219:N221" si="116">IF(H219=0,0,L219/H219)</f>
        <v>-0.7201909090909091</v>
      </c>
      <c r="O219" s="13"/>
      <c r="P219" s="1">
        <f>SUM(OSRRefP22_19x_0)</f>
        <v>4334.33</v>
      </c>
      <c r="Q219" s="1"/>
      <c r="R219" s="5">
        <f t="shared" ref="R219:R221" si="117">IF(P$12=0,0,P219/P$12)</f>
        <v>6.8977028415036809E-4</v>
      </c>
      <c r="S219" s="1"/>
      <c r="T219" s="1">
        <f>SUM(OSRRefT22_19x_0)</f>
        <v>11295</v>
      </c>
      <c r="U219" s="1"/>
      <c r="V219" s="5">
        <f t="shared" ref="V219:V221" si="118">IF(T$12=0,0,T219/T$12)</f>
        <v>1.1822955248936798E-3</v>
      </c>
      <c r="W219" s="1"/>
      <c r="X219" s="1">
        <f t="shared" ref="X219:X221" si="119">+P219-T219</f>
        <v>-6960.67</v>
      </c>
      <c r="Y219" s="1"/>
      <c r="Z219" s="5">
        <f t="shared" ref="Z219:Z221" si="120">IF(T219=0,0,X219/T219)</f>
        <v>-0.61626117751217357</v>
      </c>
    </row>
    <row r="220" spans="1:26" s="24" customFormat="1" hidden="1" outlineLevel="2" x14ac:dyDescent="0.25">
      <c r="A220" s="26"/>
      <c r="B220" s="11" t="str">
        <f>CONCATENATE("          ", "6258", " - ", "MEMBERSHIP DUES")</f>
        <v xml:space="preserve">          6258 - MEMBERSHIP DUES</v>
      </c>
      <c r="C220" s="11"/>
      <c r="D220" s="7">
        <v>232.79</v>
      </c>
      <c r="E220" s="2"/>
      <c r="F220" s="6">
        <f t="shared" si="113"/>
        <v>3.7976773562553676E-4</v>
      </c>
      <c r="G220" s="2"/>
      <c r="H220" s="7">
        <v>1100</v>
      </c>
      <c r="I220" s="2"/>
      <c r="J220" s="6">
        <f t="shared" si="114"/>
        <v>2.1357522993315095E-3</v>
      </c>
      <c r="K220" s="2"/>
      <c r="L220" s="7">
        <f t="shared" si="115"/>
        <v>-867.21</v>
      </c>
      <c r="M220" s="2"/>
      <c r="N220" s="6">
        <f t="shared" si="116"/>
        <v>-0.78837272727272734</v>
      </c>
      <c r="O220" s="11"/>
      <c r="P220" s="7">
        <v>2106.52</v>
      </c>
      <c r="Q220" s="2"/>
      <c r="R220" s="6">
        <f t="shared" si="117"/>
        <v>3.3523402670503479E-4</v>
      </c>
      <c r="S220" s="2"/>
      <c r="T220" s="7">
        <v>11295</v>
      </c>
      <c r="U220" s="2"/>
      <c r="V220" s="6">
        <f t="shared" si="118"/>
        <v>1.1822955248936798E-3</v>
      </c>
      <c r="W220" s="2"/>
      <c r="X220" s="7">
        <f t="shared" si="119"/>
        <v>-9188.48</v>
      </c>
      <c r="Y220" s="2"/>
      <c r="Z220" s="6">
        <f t="shared" si="120"/>
        <v>-0.81349977866312528</v>
      </c>
    </row>
    <row r="221" spans="1:26" s="24" customFormat="1" hidden="1" outlineLevel="2" x14ac:dyDescent="0.25">
      <c r="A221" s="26"/>
      <c r="B221" s="11" t="str">
        <f>CONCATENATE("          ", "6275", " - ", "SUBSCRIPTIONS")</f>
        <v xml:space="preserve">          6275 - SUBSCRIPTIONS</v>
      </c>
      <c r="C221" s="11"/>
      <c r="D221" s="7">
        <v>75</v>
      </c>
      <c r="E221" s="2"/>
      <c r="F221" s="6">
        <f t="shared" si="113"/>
        <v>1.2235310868987181E-4</v>
      </c>
      <c r="G221" s="2"/>
      <c r="H221" s="7">
        <v>0</v>
      </c>
      <c r="I221" s="2"/>
      <c r="J221" s="6">
        <f t="shared" si="114"/>
        <v>0</v>
      </c>
      <c r="K221" s="2"/>
      <c r="L221" s="7">
        <f t="shared" si="115"/>
        <v>75</v>
      </c>
      <c r="M221" s="2"/>
      <c r="N221" s="6">
        <f t="shared" si="116"/>
        <v>0</v>
      </c>
      <c r="O221" s="11"/>
      <c r="P221" s="7">
        <v>2227.81</v>
      </c>
      <c r="Q221" s="2"/>
      <c r="R221" s="6">
        <f t="shared" si="117"/>
        <v>3.545362574453333E-4</v>
      </c>
      <c r="S221" s="2"/>
      <c r="T221" s="7">
        <v>0</v>
      </c>
      <c r="U221" s="2"/>
      <c r="V221" s="6">
        <f t="shared" si="118"/>
        <v>0</v>
      </c>
      <c r="W221" s="2"/>
      <c r="X221" s="7">
        <f t="shared" si="119"/>
        <v>2227.81</v>
      </c>
      <c r="Y221" s="2"/>
      <c r="Z221" s="6">
        <f t="shared" si="120"/>
        <v>0</v>
      </c>
    </row>
    <row r="222" spans="1:26" s="25" customFormat="1" outlineLevel="1" collapsed="1" x14ac:dyDescent="0.25">
      <c r="A222" s="27"/>
      <c r="B222" s="13" t="str">
        <f>CONCATENATE("     ","Supplies                                          ")</f>
        <v xml:space="preserve">     Supplies                                          </v>
      </c>
      <c r="C222" s="13"/>
      <c r="D222" s="1">
        <f>SUM(OSRRefD22_20x_0)</f>
        <v>5831.1500000000005</v>
      </c>
      <c r="E222" s="1"/>
      <c r="F222" s="5">
        <f t="shared" ref="F222:F231" si="121">IF(D$12=0,0,D222/D$12)</f>
        <v>9.5127910631592795E-3</v>
      </c>
      <c r="G222" s="1"/>
      <c r="H222" s="1">
        <f>SUM(OSRRefH22_20x_0)</f>
        <v>12130</v>
      </c>
      <c r="I222" s="1"/>
      <c r="J222" s="5">
        <f t="shared" ref="J222:J231" si="122">IF(H$12=0,0,H222/H$12)</f>
        <v>2.3551523082628374E-2</v>
      </c>
      <c r="K222" s="1"/>
      <c r="L222" s="1">
        <f t="shared" ref="L222:L231" si="123">+D222-H222</f>
        <v>-6298.8499999999995</v>
      </c>
      <c r="M222" s="1"/>
      <c r="N222" s="5">
        <f t="shared" ref="N222:N231" si="124">IF(H222=0,0,L222/H222)</f>
        <v>-0.51927864798021428</v>
      </c>
      <c r="O222" s="13"/>
      <c r="P222" s="1">
        <f>SUM(OSRRefP22_20x_0)</f>
        <v>106816.36</v>
      </c>
      <c r="Q222" s="1"/>
      <c r="R222" s="5">
        <f t="shared" ref="R222:R231" si="125">IF(P$12=0,0,P222/P$12)</f>
        <v>1.6998878947636201E-2</v>
      </c>
      <c r="S222" s="1"/>
      <c r="T222" s="1">
        <f>SUM(OSRRefT22_20x_0)</f>
        <v>136775</v>
      </c>
      <c r="U222" s="1"/>
      <c r="V222" s="5">
        <f t="shared" ref="V222:V231" si="126">IF(T$12=0,0,T222/T$12)</f>
        <v>1.4316818983384954E-2</v>
      </c>
      <c r="W222" s="1"/>
      <c r="X222" s="1">
        <f t="shared" ref="X222:X231" si="127">+P222-T222</f>
        <v>-29958.639999999999</v>
      </c>
      <c r="Y222" s="1"/>
      <c r="Z222" s="5">
        <f t="shared" ref="Z222:Z231" si="128">IF(T222=0,0,X222/T222)</f>
        <v>-0.21903593492962894</v>
      </c>
    </row>
    <row r="223" spans="1:26" s="24" customFormat="1" hidden="1" outlineLevel="2" x14ac:dyDescent="0.25">
      <c r="A223" s="26"/>
      <c r="B223" s="11" t="str">
        <f>CONCATENATE("          ", "6234", " - ", "EXPENDABLE SUPPLIES &amp; EQUIPMEN")</f>
        <v xml:space="preserve">          6234 - EXPENDABLE SUPPLIES &amp; EQUIPMEN</v>
      </c>
      <c r="C223" s="11"/>
      <c r="D223" s="7">
        <v>1733.49</v>
      </c>
      <c r="E223" s="2"/>
      <c r="F223" s="6">
        <f t="shared" si="121"/>
        <v>2.8279718717707449E-3</v>
      </c>
      <c r="G223" s="2"/>
      <c r="H223" s="7">
        <v>150</v>
      </c>
      <c r="I223" s="2"/>
      <c r="J223" s="6">
        <f t="shared" si="122"/>
        <v>2.9123894990884221E-4</v>
      </c>
      <c r="K223" s="2"/>
      <c r="L223" s="7">
        <f t="shared" si="123"/>
        <v>1583.49</v>
      </c>
      <c r="M223" s="2"/>
      <c r="N223" s="6">
        <f t="shared" si="124"/>
        <v>10.5566</v>
      </c>
      <c r="O223" s="11"/>
      <c r="P223" s="7">
        <v>1680.65</v>
      </c>
      <c r="Q223" s="2"/>
      <c r="R223" s="6">
        <f t="shared" si="125"/>
        <v>2.6746058284840248E-4</v>
      </c>
      <c r="S223" s="2"/>
      <c r="T223" s="7">
        <v>1350</v>
      </c>
      <c r="U223" s="2"/>
      <c r="V223" s="6">
        <f t="shared" si="126"/>
        <v>1.4131022209884619E-4</v>
      </c>
      <c r="W223" s="2"/>
      <c r="X223" s="7">
        <f t="shared" si="127"/>
        <v>330.65000000000009</v>
      </c>
      <c r="Y223" s="2"/>
      <c r="Z223" s="6">
        <f t="shared" si="128"/>
        <v>0.24492592592592599</v>
      </c>
    </row>
    <row r="224" spans="1:26" s="24" customFormat="1" hidden="1" outlineLevel="2" x14ac:dyDescent="0.25">
      <c r="A224" s="26"/>
      <c r="B224" s="11" t="str">
        <f>CONCATENATE("          ", "6235", " - ", "COVID-19 EXPENSES")</f>
        <v xml:space="preserve">          6235 - COVID-19 EXPENSES</v>
      </c>
      <c r="C224" s="11"/>
      <c r="D224" s="7">
        <v>370.83</v>
      </c>
      <c r="E224" s="2"/>
      <c r="F224" s="6">
        <f t="shared" si="121"/>
        <v>6.0496271060620215E-4</v>
      </c>
      <c r="G224" s="2"/>
      <c r="H224" s="7">
        <v>500</v>
      </c>
      <c r="I224" s="2"/>
      <c r="J224" s="6">
        <f t="shared" si="122"/>
        <v>9.707964996961407E-4</v>
      </c>
      <c r="K224" s="2"/>
      <c r="L224" s="7">
        <f t="shared" si="123"/>
        <v>-129.17000000000002</v>
      </c>
      <c r="M224" s="2"/>
      <c r="N224" s="6">
        <f t="shared" si="124"/>
        <v>-0.25834000000000001</v>
      </c>
      <c r="O224" s="11"/>
      <c r="P224" s="7">
        <v>38330.120000000003</v>
      </c>
      <c r="Q224" s="2"/>
      <c r="R224" s="6">
        <f t="shared" si="125"/>
        <v>6.0998995839997667E-3</v>
      </c>
      <c r="S224" s="2"/>
      <c r="T224" s="7">
        <v>64100</v>
      </c>
      <c r="U224" s="2"/>
      <c r="V224" s="6">
        <f t="shared" si="126"/>
        <v>6.7096186937304E-3</v>
      </c>
      <c r="W224" s="2"/>
      <c r="X224" s="7">
        <f t="shared" si="127"/>
        <v>-25769.879999999997</v>
      </c>
      <c r="Y224" s="2"/>
      <c r="Z224" s="6">
        <f t="shared" si="128"/>
        <v>-0.40202620904836189</v>
      </c>
    </row>
    <row r="225" spans="1:26" s="24" customFormat="1" hidden="1" outlineLevel="2" x14ac:dyDescent="0.25">
      <c r="A225" s="26"/>
      <c r="B225" s="11" t="str">
        <f>CONCATENATE("          ", "6237", " - ", "JANITORIAL SUPPLIES")</f>
        <v xml:space="preserve">          6237 - JANITORIAL SUPPLIES</v>
      </c>
      <c r="C225" s="11"/>
      <c r="D225" s="7">
        <v>637.59</v>
      </c>
      <c r="E225" s="2"/>
      <c r="F225" s="6">
        <f t="shared" si="121"/>
        <v>1.0401482475943381E-3</v>
      </c>
      <c r="G225" s="2"/>
      <c r="H225" s="7">
        <v>270</v>
      </c>
      <c r="I225" s="2"/>
      <c r="J225" s="6">
        <f t="shared" si="122"/>
        <v>5.2423010983591596E-4</v>
      </c>
      <c r="K225" s="2"/>
      <c r="L225" s="7">
        <f t="shared" si="123"/>
        <v>367.59000000000003</v>
      </c>
      <c r="M225" s="2"/>
      <c r="N225" s="6">
        <f t="shared" si="124"/>
        <v>1.3614444444444445</v>
      </c>
      <c r="O225" s="11"/>
      <c r="P225" s="7">
        <v>2901.24</v>
      </c>
      <c r="Q225" s="2"/>
      <c r="R225" s="6">
        <f t="shared" si="125"/>
        <v>4.6170668573652994E-4</v>
      </c>
      <c r="S225" s="2"/>
      <c r="T225" s="7">
        <v>2410</v>
      </c>
      <c r="U225" s="2"/>
      <c r="V225" s="6">
        <f t="shared" si="126"/>
        <v>2.522649150060884E-4</v>
      </c>
      <c r="W225" s="2"/>
      <c r="X225" s="7">
        <f t="shared" si="127"/>
        <v>491.23999999999978</v>
      </c>
      <c r="Y225" s="2"/>
      <c r="Z225" s="6">
        <f t="shared" si="128"/>
        <v>0.20383402489626548</v>
      </c>
    </row>
    <row r="226" spans="1:26" s="24" customFormat="1" hidden="1" outlineLevel="2" x14ac:dyDescent="0.25">
      <c r="A226" s="26"/>
      <c r="B226" s="11" t="str">
        <f>CONCATENATE("          ", "6241", " - ", "OFFICE EXPENSE")</f>
        <v xml:space="preserve">          6241 - OFFICE EXPENSE</v>
      </c>
      <c r="C226" s="11"/>
      <c r="D226" s="7">
        <v>496.61</v>
      </c>
      <c r="E226" s="2"/>
      <c r="F226" s="6">
        <f t="shared" si="121"/>
        <v>8.1015703075302983E-4</v>
      </c>
      <c r="G226" s="2"/>
      <c r="H226" s="7">
        <v>535</v>
      </c>
      <c r="I226" s="2"/>
      <c r="J226" s="6">
        <f t="shared" si="122"/>
        <v>1.0387522546748706E-3</v>
      </c>
      <c r="K226" s="2"/>
      <c r="L226" s="7">
        <f t="shared" si="123"/>
        <v>-38.389999999999986</v>
      </c>
      <c r="M226" s="2"/>
      <c r="N226" s="6">
        <f t="shared" si="124"/>
        <v>-7.1757009345794362E-2</v>
      </c>
      <c r="O226" s="11"/>
      <c r="P226" s="7">
        <v>11763.64</v>
      </c>
      <c r="Q226" s="2"/>
      <c r="R226" s="6">
        <f t="shared" si="125"/>
        <v>1.8720792614873893E-3</v>
      </c>
      <c r="S226" s="2"/>
      <c r="T226" s="7">
        <v>6015</v>
      </c>
      <c r="U226" s="2"/>
      <c r="V226" s="6">
        <f t="shared" si="126"/>
        <v>6.296155451293036E-4</v>
      </c>
      <c r="W226" s="2"/>
      <c r="X226" s="7">
        <f t="shared" si="127"/>
        <v>5748.6399999999994</v>
      </c>
      <c r="Y226" s="2"/>
      <c r="Z226" s="6">
        <f t="shared" si="128"/>
        <v>0.95571737323358263</v>
      </c>
    </row>
    <row r="227" spans="1:26" s="24" customFormat="1" hidden="1" outlineLevel="2" x14ac:dyDescent="0.25">
      <c r="A227" s="26"/>
      <c r="B227" s="11" t="str">
        <f>CONCATENATE("          ", "6243", " - ", "PAPER SUPPLIES")</f>
        <v xml:space="preserve">          6243 - PAPER SUPPLIES</v>
      </c>
      <c r="C227" s="11"/>
      <c r="D227" s="7">
        <v>309.25</v>
      </c>
      <c r="E227" s="2"/>
      <c r="F227" s="6">
        <f t="shared" si="121"/>
        <v>5.0450265149790477E-4</v>
      </c>
      <c r="G227" s="2"/>
      <c r="H227" s="7">
        <v>5650</v>
      </c>
      <c r="I227" s="2"/>
      <c r="J227" s="6">
        <f t="shared" si="122"/>
        <v>1.097000044656639E-2</v>
      </c>
      <c r="K227" s="2"/>
      <c r="L227" s="7">
        <f t="shared" si="123"/>
        <v>-5340.75</v>
      </c>
      <c r="M227" s="2"/>
      <c r="N227" s="6">
        <f t="shared" si="124"/>
        <v>-0.94526548672566368</v>
      </c>
      <c r="O227" s="11"/>
      <c r="P227" s="7">
        <v>6482.65</v>
      </c>
      <c r="Q227" s="2"/>
      <c r="R227" s="6">
        <f t="shared" si="125"/>
        <v>1.0316564111517543E-3</v>
      </c>
      <c r="S227" s="2"/>
      <c r="T227" s="7">
        <v>17250</v>
      </c>
      <c r="U227" s="2"/>
      <c r="V227" s="6">
        <f t="shared" si="126"/>
        <v>1.8056306157074791E-3</v>
      </c>
      <c r="W227" s="2"/>
      <c r="X227" s="7">
        <f t="shared" si="127"/>
        <v>-10767.35</v>
      </c>
      <c r="Y227" s="2"/>
      <c r="Z227" s="6">
        <f t="shared" si="128"/>
        <v>-0.62419420289855077</v>
      </c>
    </row>
    <row r="228" spans="1:26" s="24" customFormat="1" hidden="1" outlineLevel="2" x14ac:dyDescent="0.25">
      <c r="A228" s="26"/>
      <c r="B228" s="11" t="str">
        <f>CONCATENATE("          ", "6244", " - ", "SAFETY SUPPLY EXPENSE")</f>
        <v xml:space="preserve">          6244 - SAFETY SUPPLY EXPENSE</v>
      </c>
      <c r="C228" s="11"/>
      <c r="D228" s="7"/>
      <c r="E228" s="2"/>
      <c r="F228" s="6">
        <f t="shared" si="121"/>
        <v>0</v>
      </c>
      <c r="G228" s="2"/>
      <c r="H228" s="7">
        <v>0</v>
      </c>
      <c r="I228" s="2"/>
      <c r="J228" s="6">
        <f t="shared" si="122"/>
        <v>0</v>
      </c>
      <c r="K228" s="2"/>
      <c r="L228" s="7">
        <f t="shared" si="123"/>
        <v>0</v>
      </c>
      <c r="M228" s="2"/>
      <c r="N228" s="6">
        <f t="shared" si="124"/>
        <v>0</v>
      </c>
      <c r="O228" s="11"/>
      <c r="P228" s="7"/>
      <c r="Q228" s="2"/>
      <c r="R228" s="6">
        <f t="shared" si="125"/>
        <v>0</v>
      </c>
      <c r="S228" s="2"/>
      <c r="T228" s="7">
        <v>75</v>
      </c>
      <c r="U228" s="2"/>
      <c r="V228" s="6">
        <f t="shared" si="126"/>
        <v>7.8505678943803428E-6</v>
      </c>
      <c r="W228" s="2"/>
      <c r="X228" s="7">
        <f t="shared" si="127"/>
        <v>-75</v>
      </c>
      <c r="Y228" s="2"/>
      <c r="Z228" s="6">
        <f t="shared" si="128"/>
        <v>-1</v>
      </c>
    </row>
    <row r="229" spans="1:26" s="24" customFormat="1" hidden="1" outlineLevel="2" x14ac:dyDescent="0.25">
      <c r="A229" s="26"/>
      <c r="B229" s="11" t="str">
        <f>CONCATENATE("          ", "6245", " - ", "PRINTING")</f>
        <v xml:space="preserve">          6245 - PRINTING</v>
      </c>
      <c r="C229" s="11"/>
      <c r="D229" s="7">
        <v>447.27</v>
      </c>
      <c r="E229" s="2"/>
      <c r="F229" s="6">
        <f t="shared" si="121"/>
        <v>7.2966499898291948E-4</v>
      </c>
      <c r="G229" s="2"/>
      <c r="H229" s="7">
        <v>350</v>
      </c>
      <c r="I229" s="2"/>
      <c r="J229" s="6">
        <f t="shared" si="122"/>
        <v>6.7955754978729849E-4</v>
      </c>
      <c r="K229" s="2"/>
      <c r="L229" s="7">
        <f t="shared" si="123"/>
        <v>97.269999999999982</v>
      </c>
      <c r="M229" s="2"/>
      <c r="N229" s="6">
        <f t="shared" si="124"/>
        <v>0.27791428571428567</v>
      </c>
      <c r="O229" s="11"/>
      <c r="P229" s="7">
        <v>1354.21</v>
      </c>
      <c r="Q229" s="2"/>
      <c r="R229" s="6">
        <f t="shared" si="125"/>
        <v>2.1551054407469437E-4</v>
      </c>
      <c r="S229" s="2"/>
      <c r="T229" s="7">
        <v>4250</v>
      </c>
      <c r="U229" s="2"/>
      <c r="V229" s="6">
        <f t="shared" si="126"/>
        <v>4.4486551401488612E-4</v>
      </c>
      <c r="W229" s="2"/>
      <c r="X229" s="7">
        <f t="shared" si="127"/>
        <v>-2895.79</v>
      </c>
      <c r="Y229" s="2"/>
      <c r="Z229" s="6">
        <f t="shared" si="128"/>
        <v>-0.68136235294117642</v>
      </c>
    </row>
    <row r="230" spans="1:26" s="24" customFormat="1" hidden="1" outlineLevel="2" x14ac:dyDescent="0.25">
      <c r="A230" s="26"/>
      <c r="B230" s="11" t="str">
        <f>CONCATENATE("          ", "6247", " - ", "STORE SUPPLIES")</f>
        <v xml:space="preserve">          6247 - STORE SUPPLIES</v>
      </c>
      <c r="C230" s="11"/>
      <c r="D230" s="7">
        <v>1836.11</v>
      </c>
      <c r="E230" s="2"/>
      <c r="F230" s="6">
        <f t="shared" si="121"/>
        <v>2.9953835519541398E-3</v>
      </c>
      <c r="G230" s="2"/>
      <c r="H230" s="7">
        <v>3175</v>
      </c>
      <c r="I230" s="2"/>
      <c r="J230" s="6">
        <f t="shared" si="122"/>
        <v>6.1645577730704932E-3</v>
      </c>
      <c r="K230" s="2"/>
      <c r="L230" s="7">
        <f t="shared" si="123"/>
        <v>-1338.89</v>
      </c>
      <c r="M230" s="2"/>
      <c r="N230" s="6">
        <f t="shared" si="124"/>
        <v>-0.42169763779527564</v>
      </c>
      <c r="O230" s="11"/>
      <c r="P230" s="7">
        <v>44303.85</v>
      </c>
      <c r="Q230" s="2"/>
      <c r="R230" s="6">
        <f t="shared" si="125"/>
        <v>7.0505658783376638E-3</v>
      </c>
      <c r="S230" s="2"/>
      <c r="T230" s="7">
        <v>27625</v>
      </c>
      <c r="U230" s="2"/>
      <c r="V230" s="6">
        <f t="shared" si="126"/>
        <v>2.89162584109676E-3</v>
      </c>
      <c r="W230" s="2"/>
      <c r="X230" s="7">
        <f t="shared" si="127"/>
        <v>16678.849999999999</v>
      </c>
      <c r="Y230" s="2"/>
      <c r="Z230" s="6">
        <f t="shared" si="128"/>
        <v>0.60375927601809953</v>
      </c>
    </row>
    <row r="231" spans="1:26" s="24" customFormat="1" hidden="1" outlineLevel="2" x14ac:dyDescent="0.25">
      <c r="A231" s="26"/>
      <c r="B231" s="11" t="str">
        <f>CONCATENATE("          ", "6248", " - ", "UNIFORMS")</f>
        <v xml:space="preserve">          6248 - UNIFORMS</v>
      </c>
      <c r="C231" s="11"/>
      <c r="D231" s="7"/>
      <c r="E231" s="2"/>
      <c r="F231" s="6">
        <f t="shared" si="121"/>
        <v>0</v>
      </c>
      <c r="G231" s="2"/>
      <c r="H231" s="7">
        <v>1500</v>
      </c>
      <c r="I231" s="2"/>
      <c r="J231" s="6">
        <f t="shared" si="122"/>
        <v>2.9123894990884221E-3</v>
      </c>
      <c r="K231" s="2"/>
      <c r="L231" s="7">
        <f t="shared" si="123"/>
        <v>-1500</v>
      </c>
      <c r="M231" s="2"/>
      <c r="N231" s="6">
        <f t="shared" si="124"/>
        <v>-1</v>
      </c>
      <c r="O231" s="11"/>
      <c r="P231" s="7"/>
      <c r="Q231" s="2"/>
      <c r="R231" s="6">
        <f t="shared" si="125"/>
        <v>0</v>
      </c>
      <c r="S231" s="2"/>
      <c r="T231" s="7">
        <v>13700</v>
      </c>
      <c r="U231" s="2"/>
      <c r="V231" s="6">
        <f t="shared" si="126"/>
        <v>1.4340370687068095E-3</v>
      </c>
      <c r="W231" s="2"/>
      <c r="X231" s="7">
        <f t="shared" si="127"/>
        <v>-13700</v>
      </c>
      <c r="Y231" s="2"/>
      <c r="Z231" s="6">
        <f t="shared" si="128"/>
        <v>-1</v>
      </c>
    </row>
    <row r="232" spans="1:26" s="25" customFormat="1" outlineLevel="1" collapsed="1" x14ac:dyDescent="0.25">
      <c r="A232" s="27"/>
      <c r="B232" s="13" t="str">
        <f>CONCATENATE("     ","Telephone/Data Lines                              ")</f>
        <v xml:space="preserve">     Telephone/Data Lines                              </v>
      </c>
      <c r="C232" s="13"/>
      <c r="D232" s="1">
        <f>SUM(OSRRefD22_21x_0)</f>
        <v>1714.92</v>
      </c>
      <c r="E232" s="1"/>
      <c r="F232" s="5">
        <f t="shared" ref="F232:F234" si="129">IF(D$12=0,0,D232/D$12)</f>
        <v>2.7976772420591329E-3</v>
      </c>
      <c r="G232" s="1"/>
      <c r="H232" s="1">
        <f>SUM(OSRRefH22_21x_0)</f>
        <v>2545</v>
      </c>
      <c r="I232" s="1"/>
      <c r="J232" s="5">
        <f t="shared" ref="J232:J234" si="130">IF(H$12=0,0,H232/H$12)</f>
        <v>4.941354183453356E-3</v>
      </c>
      <c r="K232" s="1"/>
      <c r="L232" s="1">
        <f t="shared" ref="L232:L234" si="131">+D232-H232</f>
        <v>-830.07999999999993</v>
      </c>
      <c r="M232" s="1"/>
      <c r="N232" s="5">
        <f t="shared" ref="N232:N234" si="132">IF(H232=0,0,L232/H232)</f>
        <v>-0.3261611001964636</v>
      </c>
      <c r="O232" s="13"/>
      <c r="P232" s="1">
        <f>SUM(OSRRefP22_21x_0)</f>
        <v>22474.92</v>
      </c>
      <c r="Q232" s="1"/>
      <c r="R232" s="5">
        <f t="shared" ref="R232:R234" si="133">IF(P$12=0,0,P232/P$12)</f>
        <v>3.5766847366621346E-3</v>
      </c>
      <c r="S232" s="1"/>
      <c r="T232" s="1">
        <f>SUM(OSRRefT22_21x_0)</f>
        <v>25215</v>
      </c>
      <c r="U232" s="1"/>
      <c r="V232" s="5">
        <f t="shared" ref="V232:V234" si="134">IF(T$12=0,0,T232/T$12)</f>
        <v>2.6393609260906715E-3</v>
      </c>
      <c r="W232" s="1"/>
      <c r="X232" s="1">
        <f t="shared" ref="X232:X234" si="135">+P232-T232</f>
        <v>-2740.0800000000017</v>
      </c>
      <c r="Y232" s="1"/>
      <c r="Z232" s="5">
        <f t="shared" ref="Z232:Z234" si="136">IF(T232=0,0,X232/T232)</f>
        <v>-0.10866864961332547</v>
      </c>
    </row>
    <row r="233" spans="1:26" s="24" customFormat="1" hidden="1" outlineLevel="2" x14ac:dyDescent="0.25">
      <c r="A233" s="26"/>
      <c r="B233" s="11" t="str">
        <f>CONCATENATE("          ", "6303", " - ", "DATA PHONE LINES")</f>
        <v xml:space="preserve">          6303 - DATA PHONE LINES</v>
      </c>
      <c r="C233" s="11"/>
      <c r="D233" s="7"/>
      <c r="E233" s="2"/>
      <c r="F233" s="6">
        <f t="shared" si="129"/>
        <v>0</v>
      </c>
      <c r="G233" s="2"/>
      <c r="H233" s="7">
        <v>630</v>
      </c>
      <c r="I233" s="2"/>
      <c r="J233" s="6">
        <f t="shared" si="130"/>
        <v>1.2232035896171372E-3</v>
      </c>
      <c r="K233" s="2"/>
      <c r="L233" s="7">
        <f t="shared" si="131"/>
        <v>-630</v>
      </c>
      <c r="M233" s="2"/>
      <c r="N233" s="6">
        <f t="shared" si="132"/>
        <v>-1</v>
      </c>
      <c r="O233" s="11"/>
      <c r="P233" s="7">
        <v>2950</v>
      </c>
      <c r="Q233" s="2"/>
      <c r="R233" s="6">
        <f t="shared" si="133"/>
        <v>4.6946640847457066E-4</v>
      </c>
      <c r="S233" s="2"/>
      <c r="T233" s="7">
        <v>5670</v>
      </c>
      <c r="U233" s="2"/>
      <c r="V233" s="6">
        <f t="shared" si="134"/>
        <v>5.9350293281515399E-4</v>
      </c>
      <c r="W233" s="2"/>
      <c r="X233" s="7">
        <f t="shared" si="135"/>
        <v>-2720</v>
      </c>
      <c r="Y233" s="2"/>
      <c r="Z233" s="6">
        <f t="shared" si="136"/>
        <v>-0.47971781305114636</v>
      </c>
    </row>
    <row r="234" spans="1:26" s="24" customFormat="1" hidden="1" outlineLevel="2" x14ac:dyDescent="0.25">
      <c r="A234" s="26"/>
      <c r="B234" s="11" t="str">
        <f>CONCATENATE("          ", "6309", " - ", "TELEPHONE")</f>
        <v xml:space="preserve">          6309 - TELEPHONE</v>
      </c>
      <c r="C234" s="11"/>
      <c r="D234" s="7">
        <v>1714.92</v>
      </c>
      <c r="E234" s="2"/>
      <c r="F234" s="6">
        <f t="shared" si="129"/>
        <v>2.7976772420591329E-3</v>
      </c>
      <c r="G234" s="2"/>
      <c r="H234" s="7">
        <v>1915</v>
      </c>
      <c r="I234" s="2"/>
      <c r="J234" s="6">
        <f t="shared" si="130"/>
        <v>3.7181505938362188E-3</v>
      </c>
      <c r="K234" s="2"/>
      <c r="L234" s="7">
        <f t="shared" si="131"/>
        <v>-200.07999999999993</v>
      </c>
      <c r="M234" s="2"/>
      <c r="N234" s="6">
        <f t="shared" si="132"/>
        <v>-0.10448041775456915</v>
      </c>
      <c r="O234" s="11"/>
      <c r="P234" s="7">
        <v>19524.919999999998</v>
      </c>
      <c r="Q234" s="2"/>
      <c r="R234" s="6">
        <f t="shared" si="133"/>
        <v>3.1072183281875641E-3</v>
      </c>
      <c r="S234" s="2"/>
      <c r="T234" s="7">
        <v>19545</v>
      </c>
      <c r="U234" s="2"/>
      <c r="V234" s="6">
        <f t="shared" si="134"/>
        <v>2.0458579932755177E-3</v>
      </c>
      <c r="W234" s="2"/>
      <c r="X234" s="7">
        <f t="shared" si="135"/>
        <v>-20.080000000001746</v>
      </c>
      <c r="Y234" s="2"/>
      <c r="Z234" s="6">
        <f t="shared" si="136"/>
        <v>-1.0273727295984521E-3</v>
      </c>
    </row>
    <row r="235" spans="1:26" s="25" customFormat="1" outlineLevel="1" collapsed="1" x14ac:dyDescent="0.25">
      <c r="A235" s="27"/>
      <c r="B235" s="13" t="str">
        <f>CONCATENATE("     ","Training                                          ")</f>
        <v xml:space="preserve">     Training                                          </v>
      </c>
      <c r="C235" s="13"/>
      <c r="D235" s="1">
        <f>SUM(OSRRefD22_22x_0)</f>
        <v>0</v>
      </c>
      <c r="E235" s="1"/>
      <c r="F235" s="5">
        <f t="shared" ref="F235:F240" si="137">IF(D$12=0,0,D235/D$12)</f>
        <v>0</v>
      </c>
      <c r="G235" s="1"/>
      <c r="H235" s="1">
        <f>SUM(OSRRefH22_22x_0)</f>
        <v>0</v>
      </c>
      <c r="I235" s="1"/>
      <c r="J235" s="5">
        <f t="shared" ref="J235:J240" si="138">IF(H$12=0,0,H235/H$12)</f>
        <v>0</v>
      </c>
      <c r="K235" s="1"/>
      <c r="L235" s="1">
        <f t="shared" ref="L235:L240" si="139">+D235-H235</f>
        <v>0</v>
      </c>
      <c r="M235" s="1"/>
      <c r="N235" s="5">
        <f t="shared" ref="N235:N240" si="140">IF(H235=0,0,L235/H235)</f>
        <v>0</v>
      </c>
      <c r="O235" s="13"/>
      <c r="P235" s="1">
        <f>SUM(OSRRefP22_22x_0)</f>
        <v>995.63</v>
      </c>
      <c r="Q235" s="1"/>
      <c r="R235" s="5">
        <f t="shared" ref="R235:R240" si="141">IF(P$12=0,0,P235/P$12)</f>
        <v>1.5844570856594467E-4</v>
      </c>
      <c r="S235" s="1"/>
      <c r="T235" s="1">
        <f>SUM(OSRRefT22_22x_0)</f>
        <v>14470</v>
      </c>
      <c r="U235" s="1"/>
      <c r="V235" s="5">
        <f t="shared" ref="V235:V240" si="142">IF(T$12=0,0,T235/T$12)</f>
        <v>1.5146362324224476E-3</v>
      </c>
      <c r="W235" s="1"/>
      <c r="X235" s="1">
        <f t="shared" ref="X235:X240" si="143">+P235-T235</f>
        <v>-13474.37</v>
      </c>
      <c r="Y235" s="1"/>
      <c r="Z235" s="5">
        <f t="shared" ref="Z235:Z240" si="144">IF(T235=0,0,X235/T235)</f>
        <v>-0.93119350380096755</v>
      </c>
    </row>
    <row r="236" spans="1:26" s="24" customFormat="1" hidden="1" outlineLevel="2" x14ac:dyDescent="0.25">
      <c r="A236" s="26"/>
      <c r="B236" s="11" t="str">
        <f>CONCATENATE("          ", "6376", " - ", "TRAINING")</f>
        <v xml:space="preserve">          6376 - TRAINING</v>
      </c>
      <c r="C236" s="11"/>
      <c r="D236" s="7"/>
      <c r="E236" s="2"/>
      <c r="F236" s="6">
        <f t="shared" si="137"/>
        <v>0</v>
      </c>
      <c r="G236" s="2"/>
      <c r="H236" s="7">
        <v>0</v>
      </c>
      <c r="I236" s="2"/>
      <c r="J236" s="6">
        <f t="shared" si="138"/>
        <v>0</v>
      </c>
      <c r="K236" s="2"/>
      <c r="L236" s="7">
        <f t="shared" si="139"/>
        <v>0</v>
      </c>
      <c r="M236" s="2"/>
      <c r="N236" s="6">
        <f t="shared" si="140"/>
        <v>0</v>
      </c>
      <c r="O236" s="11"/>
      <c r="P236" s="7">
        <v>995.63</v>
      </c>
      <c r="Q236" s="2"/>
      <c r="R236" s="6">
        <f t="shared" si="141"/>
        <v>1.5844570856594467E-4</v>
      </c>
      <c r="S236" s="2"/>
      <c r="T236" s="7">
        <v>14470</v>
      </c>
      <c r="U236" s="2"/>
      <c r="V236" s="6">
        <f t="shared" si="142"/>
        <v>1.5146362324224476E-3</v>
      </c>
      <c r="W236" s="2"/>
      <c r="X236" s="7">
        <f t="shared" si="143"/>
        <v>-13474.37</v>
      </c>
      <c r="Y236" s="2"/>
      <c r="Z236" s="6">
        <f t="shared" si="144"/>
        <v>-0.93119350380096755</v>
      </c>
    </row>
    <row r="237" spans="1:26" s="25" customFormat="1" outlineLevel="1" collapsed="1" x14ac:dyDescent="0.25">
      <c r="A237" s="27"/>
      <c r="B237" s="13" t="str">
        <f>CONCATENATE("     ","Travel                                            ")</f>
        <v xml:space="preserve">     Travel                                            </v>
      </c>
      <c r="C237" s="13"/>
      <c r="D237" s="1">
        <f>SUM(OSRRefD22_23x_0)</f>
        <v>93.02</v>
      </c>
      <c r="E237" s="1"/>
      <c r="F237" s="5">
        <f t="shared" si="137"/>
        <v>1.5175048227109166E-4</v>
      </c>
      <c r="G237" s="1"/>
      <c r="H237" s="1">
        <f>SUM(OSRRefH22_23x_0)</f>
        <v>50</v>
      </c>
      <c r="I237" s="1"/>
      <c r="J237" s="5">
        <f t="shared" si="138"/>
        <v>9.707964996961407E-5</v>
      </c>
      <c r="K237" s="1"/>
      <c r="L237" s="1">
        <f t="shared" si="139"/>
        <v>43.019999999999996</v>
      </c>
      <c r="M237" s="1"/>
      <c r="N237" s="5">
        <f t="shared" si="140"/>
        <v>0.86039999999999994</v>
      </c>
      <c r="O237" s="13"/>
      <c r="P237" s="1">
        <f>SUM(OSRRefP22_23x_0)</f>
        <v>903.33</v>
      </c>
      <c r="Q237" s="1"/>
      <c r="R237" s="5">
        <f t="shared" si="141"/>
        <v>1.4375697992113014E-4</v>
      </c>
      <c r="S237" s="1"/>
      <c r="T237" s="1">
        <f>SUM(OSRRefT22_23x_0)</f>
        <v>650</v>
      </c>
      <c r="U237" s="1"/>
      <c r="V237" s="5">
        <f t="shared" si="142"/>
        <v>6.8038255084629649E-5</v>
      </c>
      <c r="W237" s="1"/>
      <c r="X237" s="1">
        <f t="shared" si="143"/>
        <v>253.33000000000004</v>
      </c>
      <c r="Y237" s="1"/>
      <c r="Z237" s="5">
        <f t="shared" si="144"/>
        <v>0.38973846153846159</v>
      </c>
    </row>
    <row r="238" spans="1:26" s="24" customFormat="1" hidden="1" outlineLevel="2" x14ac:dyDescent="0.25">
      <c r="A238" s="26"/>
      <c r="B238" s="11" t="str">
        <f>CONCATENATE("          ", "6292", " - ", "TRAVEL/CONFERENCE")</f>
        <v xml:space="preserve">          6292 - TRAVEL/CONFERENCE</v>
      </c>
      <c r="C238" s="11"/>
      <c r="D238" s="7"/>
      <c r="E238" s="2"/>
      <c r="F238" s="6">
        <f t="shared" si="137"/>
        <v>0</v>
      </c>
      <c r="G238" s="2"/>
      <c r="H238" s="7"/>
      <c r="I238" s="2"/>
      <c r="J238" s="6">
        <f t="shared" si="138"/>
        <v>0</v>
      </c>
      <c r="K238" s="2"/>
      <c r="L238" s="7">
        <f t="shared" si="139"/>
        <v>0</v>
      </c>
      <c r="M238" s="2"/>
      <c r="N238" s="6">
        <f t="shared" si="140"/>
        <v>0</v>
      </c>
      <c r="O238" s="11"/>
      <c r="P238" s="7">
        <v>299.16000000000003</v>
      </c>
      <c r="Q238" s="2"/>
      <c r="R238" s="6">
        <f t="shared" si="141"/>
        <v>4.760866805398392E-5</v>
      </c>
      <c r="S238" s="2"/>
      <c r="T238" s="7">
        <v>0</v>
      </c>
      <c r="U238" s="2"/>
      <c r="V238" s="6">
        <f t="shared" si="142"/>
        <v>0</v>
      </c>
      <c r="W238" s="2"/>
      <c r="X238" s="7">
        <f t="shared" si="143"/>
        <v>299.16000000000003</v>
      </c>
      <c r="Y238" s="2"/>
      <c r="Z238" s="6">
        <f t="shared" si="144"/>
        <v>0</v>
      </c>
    </row>
    <row r="239" spans="1:26" s="24" customFormat="1" hidden="1" outlineLevel="2" x14ac:dyDescent="0.25">
      <c r="A239" s="26"/>
      <c r="B239" s="11" t="str">
        <f>CONCATENATE("          ", "6294", " - ", "TRAVEL OPERATIONAL")</f>
        <v xml:space="preserve">          6294 - TRAVEL OPERATIONAL</v>
      </c>
      <c r="C239" s="11"/>
      <c r="D239" s="7">
        <v>93.02</v>
      </c>
      <c r="E239" s="2"/>
      <c r="F239" s="6">
        <f t="shared" si="137"/>
        <v>1.5175048227109166E-4</v>
      </c>
      <c r="G239" s="2"/>
      <c r="H239" s="7">
        <v>25</v>
      </c>
      <c r="I239" s="2"/>
      <c r="J239" s="6">
        <f t="shared" si="138"/>
        <v>4.8539824984807035E-5</v>
      </c>
      <c r="K239" s="2"/>
      <c r="L239" s="7">
        <f t="shared" si="139"/>
        <v>68.02</v>
      </c>
      <c r="M239" s="2"/>
      <c r="N239" s="6">
        <f t="shared" si="140"/>
        <v>2.7207999999999997</v>
      </c>
      <c r="O239" s="11"/>
      <c r="P239" s="7">
        <v>544.28</v>
      </c>
      <c r="Q239" s="2"/>
      <c r="R239" s="6">
        <f t="shared" si="141"/>
        <v>8.6617348069335359E-5</v>
      </c>
      <c r="S239" s="2"/>
      <c r="T239" s="7">
        <v>225</v>
      </c>
      <c r="U239" s="2"/>
      <c r="V239" s="6">
        <f t="shared" si="142"/>
        <v>2.3551703683141032E-5</v>
      </c>
      <c r="W239" s="2"/>
      <c r="X239" s="7">
        <f t="shared" si="143"/>
        <v>319.27999999999997</v>
      </c>
      <c r="Y239" s="2"/>
      <c r="Z239" s="6">
        <f t="shared" si="144"/>
        <v>1.4190222222222222</v>
      </c>
    </row>
    <row r="240" spans="1:26" s="24" customFormat="1" hidden="1" outlineLevel="2" x14ac:dyDescent="0.25">
      <c r="A240" s="26"/>
      <c r="B240" s="11" t="str">
        <f>CONCATENATE("          ", "6298", " - ", "VEHICLE MILEAGE")</f>
        <v xml:space="preserve">          6298 - VEHICLE MILEAGE</v>
      </c>
      <c r="C240" s="11"/>
      <c r="D240" s="7"/>
      <c r="E240" s="2"/>
      <c r="F240" s="6">
        <f t="shared" si="137"/>
        <v>0</v>
      </c>
      <c r="G240" s="2"/>
      <c r="H240" s="7">
        <v>25</v>
      </c>
      <c r="I240" s="2"/>
      <c r="J240" s="6">
        <f t="shared" si="138"/>
        <v>4.8539824984807035E-5</v>
      </c>
      <c r="K240" s="2"/>
      <c r="L240" s="7">
        <f t="shared" si="139"/>
        <v>-25</v>
      </c>
      <c r="M240" s="2"/>
      <c r="N240" s="6">
        <f t="shared" si="140"/>
        <v>-1</v>
      </c>
      <c r="O240" s="11"/>
      <c r="P240" s="7">
        <v>59.89</v>
      </c>
      <c r="Q240" s="2"/>
      <c r="R240" s="6">
        <f t="shared" si="141"/>
        <v>9.530963797810861E-6</v>
      </c>
      <c r="S240" s="2"/>
      <c r="T240" s="7">
        <v>425</v>
      </c>
      <c r="U240" s="2"/>
      <c r="V240" s="6">
        <f t="shared" si="142"/>
        <v>4.4486551401488617E-5</v>
      </c>
      <c r="W240" s="2"/>
      <c r="X240" s="7">
        <f t="shared" si="143"/>
        <v>-365.11</v>
      </c>
      <c r="Y240" s="2"/>
      <c r="Z240" s="6">
        <f t="shared" si="144"/>
        <v>-0.85908235294117652</v>
      </c>
    </row>
    <row r="241" spans="1:26" s="25" customFormat="1" outlineLevel="1" collapsed="1" x14ac:dyDescent="0.25">
      <c r="A241" s="27"/>
      <c r="B241" s="13" t="str">
        <f>CONCATENATE("     ","Utilities                                         ")</f>
        <v xml:space="preserve">     Utilities                                         </v>
      </c>
      <c r="C241" s="13"/>
      <c r="D241" s="1">
        <f>SUM(OSRRefD22_24x_0)</f>
        <v>3429.45</v>
      </c>
      <c r="E241" s="1"/>
      <c r="F241" s="5">
        <f t="shared" ref="F241:F242" si="145">IF(D$12=0,0,D241/D$12)</f>
        <v>5.5947182479530776E-3</v>
      </c>
      <c r="G241" s="1"/>
      <c r="H241" s="1">
        <f>SUM(OSRRefH22_24x_0)</f>
        <v>6150</v>
      </c>
      <c r="I241" s="1"/>
      <c r="J241" s="5">
        <f t="shared" ref="J241:J242" si="146">IF(H$12=0,0,H241/H$12)</f>
        <v>1.194079694626253E-2</v>
      </c>
      <c r="K241" s="1"/>
      <c r="L241" s="1">
        <f t="shared" ref="L241:L242" si="147">+D241-H241</f>
        <v>-2720.55</v>
      </c>
      <c r="M241" s="1"/>
      <c r="N241" s="5">
        <f t="shared" ref="N241:N242" si="148">IF(H241=0,0,L241/H241)</f>
        <v>-0.44236585365853659</v>
      </c>
      <c r="O241" s="13"/>
      <c r="P241" s="1">
        <f>SUM(OSRRefP22_24x_0)</f>
        <v>52517.62</v>
      </c>
      <c r="Q241" s="1"/>
      <c r="R241" s="5">
        <f t="shared" ref="R241:R242" si="149">IF(P$12=0,0,P241/P$12)</f>
        <v>8.3577147264516215E-3</v>
      </c>
      <c r="S241" s="1"/>
      <c r="T241" s="1">
        <f>SUM(OSRRefT22_24x_0)</f>
        <v>57925</v>
      </c>
      <c r="U241" s="1"/>
      <c r="V241" s="5">
        <f t="shared" ref="V241:V242" si="150">IF(T$12=0,0,T241/T$12)</f>
        <v>6.0632552704264191E-3</v>
      </c>
      <c r="W241" s="1"/>
      <c r="X241" s="1">
        <f t="shared" ref="X241:X242" si="151">+P241-T241</f>
        <v>-5407.3799999999974</v>
      </c>
      <c r="Y241" s="1"/>
      <c r="Z241" s="5">
        <f t="shared" ref="Z241:Z242" si="152">IF(T241=0,0,X241/T241)</f>
        <v>-9.3351402675873926E-2</v>
      </c>
    </row>
    <row r="242" spans="1:26" s="24" customFormat="1" hidden="1" outlineLevel="2" x14ac:dyDescent="0.25">
      <c r="A242" s="26"/>
      <c r="B242" s="11" t="str">
        <f>CONCATENATE("          ", "6274", " - ", "UTILITIES")</f>
        <v xml:space="preserve">          6274 - UTILITIES</v>
      </c>
      <c r="C242" s="11"/>
      <c r="D242" s="7">
        <v>3429.45</v>
      </c>
      <c r="E242" s="2"/>
      <c r="F242" s="6">
        <f t="shared" si="145"/>
        <v>5.5947182479530776E-3</v>
      </c>
      <c r="G242" s="2"/>
      <c r="H242" s="7">
        <v>6150</v>
      </c>
      <c r="I242" s="2"/>
      <c r="J242" s="6">
        <f t="shared" si="146"/>
        <v>1.194079694626253E-2</v>
      </c>
      <c r="K242" s="2"/>
      <c r="L242" s="7">
        <f t="shared" si="147"/>
        <v>-2720.55</v>
      </c>
      <c r="M242" s="2"/>
      <c r="N242" s="6">
        <f t="shared" si="148"/>
        <v>-0.44236585365853659</v>
      </c>
      <c r="O242" s="11"/>
      <c r="P242" s="7">
        <v>52517.62</v>
      </c>
      <c r="Q242" s="2"/>
      <c r="R242" s="6">
        <f t="shared" si="149"/>
        <v>8.3577147264516215E-3</v>
      </c>
      <c r="S242" s="2"/>
      <c r="T242" s="7">
        <v>57925</v>
      </c>
      <c r="U242" s="2"/>
      <c r="V242" s="6">
        <f t="shared" si="150"/>
        <v>6.0632552704264191E-3</v>
      </c>
      <c r="W242" s="2"/>
      <c r="X242" s="7">
        <f t="shared" si="151"/>
        <v>-5407.3799999999974</v>
      </c>
      <c r="Y242" s="2"/>
      <c r="Z242" s="6">
        <f t="shared" si="152"/>
        <v>-9.3351402675873926E-2</v>
      </c>
    </row>
    <row r="243" spans="1:26" s="59" customFormat="1" x14ac:dyDescent="0.25">
      <c r="A243" s="36"/>
      <c r="B243" s="36"/>
      <c r="C243" s="36"/>
      <c r="D243" s="1"/>
      <c r="E243" s="1"/>
      <c r="F243" s="5"/>
      <c r="G243" s="1"/>
      <c r="H243" s="1"/>
      <c r="I243" s="1"/>
      <c r="J243" s="5"/>
      <c r="K243" s="1"/>
      <c r="L243" s="1"/>
      <c r="M243" s="1"/>
      <c r="N243" s="5"/>
      <c r="O243" s="36"/>
      <c r="P243" s="1"/>
      <c r="Q243" s="1"/>
      <c r="R243" s="5"/>
      <c r="S243" s="1"/>
      <c r="T243" s="1"/>
      <c r="U243" s="1"/>
      <c r="V243" s="5"/>
      <c r="W243" s="1"/>
      <c r="X243" s="1"/>
      <c r="Y243" s="1"/>
      <c r="Z243" s="5"/>
    </row>
    <row r="244" spans="1:26" s="23" customFormat="1" collapsed="1" x14ac:dyDescent="0.25">
      <c r="A244" s="10"/>
      <c r="B244" s="28" t="s">
        <v>293</v>
      </c>
      <c r="C244" s="10"/>
      <c r="D244" s="4">
        <f>SUM(OSRRefD25x_0)</f>
        <v>214608.06</v>
      </c>
      <c r="E244" s="4"/>
      <c r="F244" s="12">
        <f t="shared" ref="F244:F249" si="153">IF(D$12=0,0,D244/D$12)</f>
        <v>0.35010617721203369</v>
      </c>
      <c r="G244" s="4"/>
      <c r="H244" s="4">
        <f>SUM(OSRRefH25x_0)</f>
        <v>208663</v>
      </c>
      <c r="I244" s="4"/>
      <c r="J244" s="12">
        <f t="shared" ref="J244:J249" si="154">IF(H$12=0,0,H244/H$12)</f>
        <v>0.40513862003219159</v>
      </c>
      <c r="K244" s="4"/>
      <c r="L244" s="4">
        <f t="shared" ref="L244:L249" si="155">+D244-H244</f>
        <v>5945.0599999999977</v>
      </c>
      <c r="M244" s="4"/>
      <c r="N244" s="12">
        <f t="shared" ref="N244:N249" si="156">IF(H244=0,0,L244/H244)</f>
        <v>2.8491203519550652E-2</v>
      </c>
      <c r="O244" s="10"/>
      <c r="P244" s="4">
        <f>SUM(OSRRefP25x_0)</f>
        <v>989142.1100000001</v>
      </c>
      <c r="Q244" s="4"/>
      <c r="R244" s="12">
        <f t="shared" ref="R244:R249" si="157">IF(P$12=0,0,P244/P$12)</f>
        <v>0.15741321825513857</v>
      </c>
      <c r="S244" s="4"/>
      <c r="T244" s="4">
        <f>SUM(OSRRefT25x_0)</f>
        <v>851335</v>
      </c>
      <c r="U244" s="4"/>
      <c r="V244" s="12">
        <f t="shared" ref="V244:V249" si="158">IF(T$12=0,0,T244/T$12)</f>
        <v>8.9112842911497195E-2</v>
      </c>
      <c r="W244" s="4"/>
      <c r="X244" s="4">
        <f t="shared" ref="X244:X249" si="159">+P244-T244</f>
        <v>137807.1100000001</v>
      </c>
      <c r="Y244" s="4"/>
      <c r="Z244" s="12">
        <f t="shared" ref="Z244:Z249" si="160">IF(T244=0,0,X244/T244)</f>
        <v>0.16187177785478113</v>
      </c>
    </row>
    <row r="245" spans="1:26" s="24" customFormat="1" hidden="1" outlineLevel="1" x14ac:dyDescent="0.25">
      <c r="A245" s="44"/>
      <c r="B245" s="11" t="str">
        <f>CONCATENATE("          ", "4187", " - ", "NON-TAXABLE SALES-COMPUTER REP")</f>
        <v xml:space="preserve">          4187 - NON-TAXABLE SALES-COMPUTER REP</v>
      </c>
      <c r="C245" s="11"/>
      <c r="D245" s="2">
        <f>--160.46</f>
        <v>160.46</v>
      </c>
      <c r="E245" s="2"/>
      <c r="F245" s="19">
        <f t="shared" si="153"/>
        <v>2.6177039760502441E-4</v>
      </c>
      <c r="G245" s="2"/>
      <c r="H245" s="2"/>
      <c r="I245" s="2"/>
      <c r="J245" s="19">
        <f t="shared" si="154"/>
        <v>0</v>
      </c>
      <c r="K245" s="2"/>
      <c r="L245" s="2">
        <f t="shared" si="155"/>
        <v>160.46</v>
      </c>
      <c r="M245" s="2"/>
      <c r="N245" s="19">
        <f t="shared" si="156"/>
        <v>0</v>
      </c>
      <c r="O245" s="11"/>
      <c r="P245" s="2">
        <f>--1614.97</f>
        <v>1614.97</v>
      </c>
      <c r="Q245" s="2"/>
      <c r="R245" s="19">
        <f t="shared" si="157"/>
        <v>2.5700819176073812E-4</v>
      </c>
      <c r="S245" s="2"/>
      <c r="T245" s="2"/>
      <c r="U245" s="2"/>
      <c r="V245" s="19">
        <f t="shared" si="158"/>
        <v>0</v>
      </c>
      <c r="W245" s="2"/>
      <c r="X245" s="2">
        <f t="shared" si="159"/>
        <v>1614.97</v>
      </c>
      <c r="Y245" s="2"/>
      <c r="Z245" s="19">
        <f t="shared" si="160"/>
        <v>0</v>
      </c>
    </row>
    <row r="246" spans="1:26" s="24" customFormat="1" hidden="1" outlineLevel="1" x14ac:dyDescent="0.25">
      <c r="A246" s="44"/>
      <c r="B246" s="11" t="str">
        <f>CONCATENATE("          ", "9150", " - ", "MISC. INCOME")</f>
        <v xml:space="preserve">          9150 - MISC. INCOME</v>
      </c>
      <c r="C246" s="11"/>
      <c r="D246" s="2">
        <f>--41318.03</f>
        <v>41318.03</v>
      </c>
      <c r="E246" s="2"/>
      <c r="F246" s="19">
        <f t="shared" si="153"/>
        <v>6.7405192205885117E-2</v>
      </c>
      <c r="G246" s="2"/>
      <c r="H246" s="2">
        <v>19568</v>
      </c>
      <c r="I246" s="2"/>
      <c r="J246" s="19">
        <f t="shared" si="154"/>
        <v>3.7993091812108165E-2</v>
      </c>
      <c r="K246" s="2"/>
      <c r="L246" s="2">
        <f t="shared" si="155"/>
        <v>21750.03</v>
      </c>
      <c r="M246" s="2"/>
      <c r="N246" s="19">
        <f t="shared" si="156"/>
        <v>1.1115101185609157</v>
      </c>
      <c r="O246" s="11"/>
      <c r="P246" s="2">
        <f>--341753.66</f>
        <v>341753.66</v>
      </c>
      <c r="Q246" s="2"/>
      <c r="R246" s="19">
        <f t="shared" si="157"/>
        <v>5.4387072319742213E-2</v>
      </c>
      <c r="S246" s="2"/>
      <c r="T246" s="2">
        <v>195840</v>
      </c>
      <c r="U246" s="2"/>
      <c r="V246" s="19">
        <f t="shared" si="158"/>
        <v>2.0499402885805953E-2</v>
      </c>
      <c r="W246" s="2"/>
      <c r="X246" s="2">
        <f t="shared" si="159"/>
        <v>145913.65999999997</v>
      </c>
      <c r="Y246" s="2"/>
      <c r="Z246" s="19">
        <f t="shared" si="160"/>
        <v>0.74506566584967304</v>
      </c>
    </row>
    <row r="247" spans="1:26" s="24" customFormat="1" hidden="1" outlineLevel="1" x14ac:dyDescent="0.25">
      <c r="A247" s="44"/>
      <c r="B247" s="11" t="str">
        <f>CONCATENATE("          ", "9151", " - ", "MISC. INCOME")</f>
        <v xml:space="preserve">          9151 - MISC. INCOME</v>
      </c>
      <c r="C247" s="11"/>
      <c r="D247" s="2">
        <f>-2282.24</f>
        <v>-2282.2399999999998</v>
      </c>
      <c r="E247" s="2"/>
      <c r="F247" s="19">
        <f t="shared" si="153"/>
        <v>-3.7231887836849734E-3</v>
      </c>
      <c r="G247" s="2"/>
      <c r="H247" s="2">
        <v>189095</v>
      </c>
      <c r="I247" s="2"/>
      <c r="J247" s="19">
        <f t="shared" si="154"/>
        <v>0.36714552822008345</v>
      </c>
      <c r="K247" s="2"/>
      <c r="L247" s="2">
        <f t="shared" si="155"/>
        <v>-191377.24</v>
      </c>
      <c r="M247" s="2"/>
      <c r="N247" s="19">
        <f t="shared" si="156"/>
        <v>-1.012069277347365</v>
      </c>
      <c r="O247" s="11"/>
      <c r="P247" s="2">
        <f>--295628.46</f>
        <v>295628.46000000002</v>
      </c>
      <c r="Q247" s="2"/>
      <c r="R247" s="19">
        <f t="shared" si="157"/>
        <v>4.704665469798925E-2</v>
      </c>
      <c r="S247" s="2"/>
      <c r="T247" s="2">
        <v>655495</v>
      </c>
      <c r="U247" s="2"/>
      <c r="V247" s="19">
        <f t="shared" si="158"/>
        <v>6.8613440025691239E-2</v>
      </c>
      <c r="W247" s="2"/>
      <c r="X247" s="2">
        <f t="shared" si="159"/>
        <v>-359866.54</v>
      </c>
      <c r="Y247" s="2"/>
      <c r="Z247" s="19">
        <f t="shared" si="160"/>
        <v>-0.54899967200360034</v>
      </c>
    </row>
    <row r="248" spans="1:26" s="24" customFormat="1" hidden="1" outlineLevel="1" x14ac:dyDescent="0.25">
      <c r="A248" s="44"/>
      <c r="B248" s="11" t="str">
        <f>CONCATENATE("          ", "9152", " - ", "MISC. INCOME")</f>
        <v xml:space="preserve">          9152 - MISC. INCOME</v>
      </c>
      <c r="C248" s="11"/>
      <c r="D248" s="2">
        <f>--397.11</f>
        <v>397.11</v>
      </c>
      <c r="E248" s="2"/>
      <c r="F248" s="19">
        <f t="shared" si="153"/>
        <v>6.4783523989113325E-4</v>
      </c>
      <c r="G248" s="2"/>
      <c r="H248" s="2"/>
      <c r="I248" s="2"/>
      <c r="J248" s="19">
        <f t="shared" si="154"/>
        <v>0</v>
      </c>
      <c r="K248" s="2"/>
      <c r="L248" s="2">
        <f t="shared" si="155"/>
        <v>397.11</v>
      </c>
      <c r="M248" s="2"/>
      <c r="N248" s="19">
        <f t="shared" si="156"/>
        <v>0</v>
      </c>
      <c r="O248" s="11"/>
      <c r="P248" s="2">
        <f>--3710.56</f>
        <v>3710.56</v>
      </c>
      <c r="Q248" s="2"/>
      <c r="R248" s="19">
        <f t="shared" si="157"/>
        <v>5.9050280563708571E-4</v>
      </c>
      <c r="S248" s="2"/>
      <c r="T248" s="2"/>
      <c r="U248" s="2"/>
      <c r="V248" s="19">
        <f t="shared" si="158"/>
        <v>0</v>
      </c>
      <c r="W248" s="2"/>
      <c r="X248" s="2">
        <f t="shared" si="159"/>
        <v>3710.56</v>
      </c>
      <c r="Y248" s="2"/>
      <c r="Z248" s="19">
        <f t="shared" si="160"/>
        <v>0</v>
      </c>
    </row>
    <row r="249" spans="1:26" s="24" customFormat="1" hidden="1" outlineLevel="1" x14ac:dyDescent="0.25">
      <c r="A249" s="44"/>
      <c r="B249" s="11" t="str">
        <f>CONCATENATE("          ", "9163", " - ", "MISC. INCOME")</f>
        <v xml:space="preserve">          9163 - MISC. INCOME</v>
      </c>
      <c r="C249" s="11"/>
      <c r="D249" s="2">
        <f>--175014.7</f>
        <v>175014.7</v>
      </c>
      <c r="E249" s="2"/>
      <c r="F249" s="19">
        <f t="shared" si="153"/>
        <v>0.28551456815233744</v>
      </c>
      <c r="G249" s="2"/>
      <c r="H249" s="2"/>
      <c r="I249" s="2"/>
      <c r="J249" s="19">
        <f t="shared" si="154"/>
        <v>0</v>
      </c>
      <c r="K249" s="2"/>
      <c r="L249" s="2">
        <f t="shared" si="155"/>
        <v>175014.7</v>
      </c>
      <c r="M249" s="2"/>
      <c r="N249" s="19">
        <f t="shared" si="156"/>
        <v>0</v>
      </c>
      <c r="O249" s="11"/>
      <c r="P249" s="2">
        <f>--346434.46</f>
        <v>346434.46</v>
      </c>
      <c r="Q249" s="2"/>
      <c r="R249" s="19">
        <f t="shared" si="157"/>
        <v>5.513198024000926E-2</v>
      </c>
      <c r="S249" s="2"/>
      <c r="T249" s="2"/>
      <c r="U249" s="2"/>
      <c r="V249" s="19">
        <f t="shared" si="158"/>
        <v>0</v>
      </c>
      <c r="W249" s="2"/>
      <c r="X249" s="2">
        <f t="shared" si="159"/>
        <v>346434.46</v>
      </c>
      <c r="Y249" s="2"/>
      <c r="Z249" s="19">
        <f t="shared" si="160"/>
        <v>0</v>
      </c>
    </row>
    <row r="250" spans="1:26" x14ac:dyDescent="0.25">
      <c r="A250" s="9"/>
      <c r="B250" s="10"/>
      <c r="C250" s="10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O250" s="10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x14ac:dyDescent="0.25">
      <c r="A251" s="10"/>
      <c r="B251" s="29" t="s">
        <v>277</v>
      </c>
      <c r="C251" s="29"/>
      <c r="D251" s="20">
        <f>+D143-D145+D244</f>
        <v>129482.25</v>
      </c>
      <c r="E251" s="14"/>
      <c r="F251" s="21">
        <f>IF(D$12=0,0,D251/D$12)</f>
        <v>0.21123407743545539</v>
      </c>
      <c r="G251" s="14"/>
      <c r="H251" s="20">
        <f>+H143-H145+H244</f>
        <v>119928.86022792535</v>
      </c>
      <c r="I251" s="14"/>
      <c r="J251" s="21">
        <f>IF(H$12=0,0,H251/H$12)</f>
        <v>0.23285303544363528</v>
      </c>
      <c r="K251" s="16"/>
      <c r="L251" s="20">
        <f>+D251-H251</f>
        <v>9553.3897720746463</v>
      </c>
      <c r="M251" s="16"/>
      <c r="N251" s="21">
        <f>IF(H251=0,0,L251/H251)</f>
        <v>7.9658805677952624E-2</v>
      </c>
      <c r="O251" s="28"/>
      <c r="P251" s="20">
        <f>+P143-P145+P244</f>
        <v>180560.49000000092</v>
      </c>
      <c r="Q251" s="14"/>
      <c r="R251" s="21">
        <f>IF(P$12=0,0,P251/P$12)</f>
        <v>2.8734605000918328E-2</v>
      </c>
      <c r="S251" s="14"/>
      <c r="T251" s="20">
        <f>+T143-T145+T244</f>
        <v>859177.32268446963</v>
      </c>
      <c r="U251" s="14"/>
      <c r="V251" s="21">
        <f>IF(T$12=0,0,T251/T$12)</f>
        <v>8.9933732067284777E-2</v>
      </c>
      <c r="W251" s="16"/>
      <c r="X251" s="20">
        <f>+P251-T251</f>
        <v>-678616.83268446871</v>
      </c>
      <c r="Y251" s="16"/>
      <c r="Z251" s="21">
        <f>IF(T251=0,0,X251/T251)</f>
        <v>-0.78984490717719835</v>
      </c>
    </row>
    <row r="252" spans="1:26" x14ac:dyDescent="0.25">
      <c r="A252" s="9"/>
      <c r="B252" s="10"/>
      <c r="C252" s="9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s="23" customFormat="1" x14ac:dyDescent="0.25">
      <c r="A253" s="52"/>
      <c r="B253" s="10" t="s">
        <v>128</v>
      </c>
      <c r="C253" s="10"/>
      <c r="D253" s="4">
        <v>172012.05</v>
      </c>
      <c r="E253" s="4"/>
      <c r="F253" s="12">
        <f>IF(D$12=0,0,D253/D$12)</f>
        <v>0.28061612066156882</v>
      </c>
      <c r="G253" s="4"/>
      <c r="H253" s="4">
        <v>134822</v>
      </c>
      <c r="I253" s="4"/>
      <c r="J253" s="12">
        <f>IF(H$12=0,0,H253/H$12)</f>
        <v>0.26176945136406615</v>
      </c>
      <c r="K253" s="4"/>
      <c r="L253" s="4">
        <f>+D253-H253</f>
        <v>37190.049999999988</v>
      </c>
      <c r="M253" s="4"/>
      <c r="N253" s="12">
        <f>IF(H253=0,0,L253/H253)</f>
        <v>0.27584555933007959</v>
      </c>
      <c r="O253" s="10"/>
      <c r="P253" s="4">
        <v>1295023.33</v>
      </c>
      <c r="Q253" s="4"/>
      <c r="R253" s="12">
        <f>IF(P$12=0,0,P253/P$12)</f>
        <v>0.20609150902572163</v>
      </c>
      <c r="S253" s="4"/>
      <c r="T253" s="4">
        <v>1693417</v>
      </c>
      <c r="U253" s="4"/>
      <c r="V253" s="12">
        <f>IF(T$12=0,0,T253/T$12)</f>
        <v>0.17725713509330504</v>
      </c>
      <c r="W253" s="4"/>
      <c r="X253" s="4">
        <f>+P253-T253</f>
        <v>-398393.66999999993</v>
      </c>
      <c r="Y253" s="4"/>
      <c r="Z253" s="12">
        <f>IF(T253=0,0,X253/T253)</f>
        <v>-0.23526022828399615</v>
      </c>
    </row>
    <row r="254" spans="1:26" x14ac:dyDescent="0.25">
      <c r="A254" s="9"/>
      <c r="B254" s="10"/>
      <c r="C254" s="10"/>
      <c r="D254" s="3"/>
      <c r="E254" s="3"/>
      <c r="F254" s="8"/>
      <c r="G254" s="3"/>
      <c r="H254" s="3"/>
      <c r="I254" s="3"/>
      <c r="J254" s="8"/>
      <c r="K254" s="3"/>
      <c r="L254" s="3"/>
      <c r="M254" s="3"/>
      <c r="N254" s="8"/>
      <c r="O254" s="10"/>
      <c r="P254" s="3"/>
      <c r="Q254" s="3"/>
      <c r="R254" s="8"/>
      <c r="S254" s="3"/>
      <c r="T254" s="3"/>
      <c r="U254" s="3"/>
      <c r="V254" s="8"/>
      <c r="W254" s="3"/>
      <c r="X254" s="3"/>
      <c r="Y254" s="3"/>
      <c r="Z254" s="8"/>
    </row>
    <row r="255" spans="1:26" s="23" customFormat="1" ht="15.75" thickBot="1" x14ac:dyDescent="0.3">
      <c r="A255" s="10"/>
      <c r="B255" s="29" t="s">
        <v>126</v>
      </c>
      <c r="C255" s="29"/>
      <c r="D255" s="34">
        <f>+D251-D253</f>
        <v>-42529.799999999988</v>
      </c>
      <c r="E255" s="14"/>
      <c r="F255" s="30">
        <f>IF(D$12=0,0,D255/D$12)</f>
        <v>-6.9382043226113438E-2</v>
      </c>
      <c r="G255" s="14"/>
      <c r="H255" s="34">
        <f>+H251-H253</f>
        <v>-14893.139772074646</v>
      </c>
      <c r="I255" s="14"/>
      <c r="J255" s="30">
        <f>IF(H$12=0,0,H255/H$12)</f>
        <v>-2.8916415920430892E-2</v>
      </c>
      <c r="K255" s="16"/>
      <c r="L255" s="34">
        <f>D255-H255</f>
        <v>-27636.660227925342</v>
      </c>
      <c r="M255" s="16"/>
      <c r="N255" s="30">
        <f>IF(H255=0,0,L255/H255)</f>
        <v>1.8556637922478516</v>
      </c>
      <c r="O255" s="28"/>
      <c r="P255" s="34">
        <f>+P251-P253</f>
        <v>-1114462.8399999992</v>
      </c>
      <c r="Q255" s="14"/>
      <c r="R255" s="30">
        <f>IF(P$12=0,0,P255/P$12)</f>
        <v>-0.17735690402480328</v>
      </c>
      <c r="S255" s="14"/>
      <c r="T255" s="34">
        <f>+T251-T253</f>
        <v>-834239.67731553037</v>
      </c>
      <c r="U255" s="14"/>
      <c r="V255" s="30">
        <f>IF(T$12=0,0,T255/T$12)</f>
        <v>-8.7323403026020277E-2</v>
      </c>
      <c r="W255" s="16"/>
      <c r="X255" s="34">
        <f>P255-T255</f>
        <v>-280223.16268446879</v>
      </c>
      <c r="Y255" s="16"/>
      <c r="Z255" s="30">
        <f>IF(T255=0,0,X255/T255)</f>
        <v>0.33590246340978258</v>
      </c>
    </row>
    <row r="256" spans="1:26" ht="15.75" thickTop="1" x14ac:dyDescent="0.25">
      <c r="A256" s="9"/>
      <c r="B256" s="9"/>
      <c r="C256" s="9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x14ac:dyDescent="0.25">
      <c r="A257" s="9"/>
      <c r="B257" s="9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ht="15.75" thickBot="1" x14ac:dyDescent="0.3">
      <c r="A258" s="10"/>
      <c r="B258" s="29" t="s">
        <v>294</v>
      </c>
      <c r="C258" s="29"/>
      <c r="D258" s="31">
        <f>SUM(D255:D257)</f>
        <v>-42529.799999999988</v>
      </c>
      <c r="E258" s="14"/>
      <c r="F258" s="35">
        <f>IF(D$12=0,0,D258/D$12)</f>
        <v>-6.9382043226113438E-2</v>
      </c>
      <c r="G258" s="14"/>
      <c r="H258" s="31">
        <f>SUM(H255:H257)</f>
        <v>-14893.139772074646</v>
      </c>
      <c r="I258" s="14"/>
      <c r="J258" s="35">
        <f>IF(H$12=0,0,H258/H$12)</f>
        <v>-2.8916415920430892E-2</v>
      </c>
      <c r="K258" s="16"/>
      <c r="L258" s="31">
        <f>+D258-H258</f>
        <v>-27636.660227925342</v>
      </c>
      <c r="M258" s="16"/>
      <c r="N258" s="35">
        <f>IF(H258=0,0,L258/H258)</f>
        <v>1.8556637922478516</v>
      </c>
      <c r="O258" s="28"/>
      <c r="P258" s="31">
        <f>SUM(P255:P257)</f>
        <v>-1114462.8399999992</v>
      </c>
      <c r="Q258" s="14"/>
      <c r="R258" s="35">
        <f>IF(P$12=0,0,P258/P$12)</f>
        <v>-0.17735690402480328</v>
      </c>
      <c r="S258" s="14"/>
      <c r="T258" s="31">
        <f>SUM(T255:T257)</f>
        <v>-834239.67731553037</v>
      </c>
      <c r="U258" s="14"/>
      <c r="V258" s="35">
        <f>IF(T$12=0,0,T258/T$12)</f>
        <v>-8.7323403026020277E-2</v>
      </c>
      <c r="W258" s="16"/>
      <c r="X258" s="31">
        <f>+P258-T258</f>
        <v>-280223.16268446879</v>
      </c>
      <c r="Y258" s="16"/>
      <c r="Z258" s="35">
        <f>IF(T258=0,0,X258/T258)</f>
        <v>0.33590246340978258</v>
      </c>
    </row>
    <row r="259" spans="1:26" ht="15.75" thickTop="1" x14ac:dyDescent="0.25">
      <c r="A259" s="9"/>
      <c r="C259" s="9"/>
      <c r="D259" s="18"/>
      <c r="E259" s="18"/>
      <c r="G259" s="18"/>
      <c r="H259" s="18"/>
      <c r="I259" s="18"/>
      <c r="J259" s="43"/>
      <c r="K259" s="18"/>
      <c r="L259" s="18"/>
      <c r="M259" s="18"/>
      <c r="P259" s="18"/>
      <c r="Q259" s="18"/>
      <c r="R259" s="43"/>
      <c r="S259" s="18"/>
      <c r="T259" s="18"/>
      <c r="U259" s="18"/>
      <c r="V259" s="43"/>
      <c r="W259" s="18"/>
      <c r="X259" s="18"/>
    </row>
    <row r="260" spans="1:26" x14ac:dyDescent="0.25">
      <c r="A260" s="9"/>
      <c r="B260" s="56">
        <v>44295.961792476854</v>
      </c>
      <c r="D260" s="18"/>
      <c r="E260" s="18"/>
      <c r="G260" s="18"/>
      <c r="H260" s="18"/>
      <c r="I260" s="18"/>
      <c r="J260" s="43"/>
      <c r="K260" s="18"/>
      <c r="L260" s="18"/>
      <c r="M260" s="18"/>
      <c r="P260" s="18"/>
      <c r="Q260" s="18"/>
      <c r="R260" s="43"/>
      <c r="S260" s="18"/>
      <c r="T260" s="18"/>
      <c r="U260" s="18"/>
      <c r="V260" s="43"/>
      <c r="W260" s="18"/>
      <c r="X260" s="18"/>
    </row>
    <row r="261" spans="1:26" x14ac:dyDescent="0.25">
      <c r="A261" s="9"/>
      <c r="B261" s="53" t="s">
        <v>56</v>
      </c>
      <c r="D261" s="18"/>
      <c r="E261" s="18"/>
      <c r="G261" s="18"/>
      <c r="H261" s="18"/>
      <c r="I261" s="18"/>
      <c r="J261" s="43"/>
      <c r="K261" s="18"/>
      <c r="L261" s="18"/>
      <c r="M261" s="18"/>
      <c r="P261" s="18"/>
      <c r="Q261" s="18"/>
      <c r="R261" s="43"/>
      <c r="S261" s="18"/>
      <c r="T261" s="18"/>
      <c r="U261" s="18"/>
      <c r="V261" s="43"/>
      <c r="W261" s="18"/>
      <c r="X261" s="18"/>
    </row>
    <row r="262" spans="1:26" x14ac:dyDescent="0.25">
      <c r="A262" s="9"/>
      <c r="B262" s="54"/>
      <c r="D262" s="18"/>
      <c r="E262" s="18"/>
      <c r="G262" s="18"/>
      <c r="H262" s="18"/>
      <c r="I262" s="18"/>
      <c r="J262" s="43"/>
      <c r="K262" s="18"/>
      <c r="L262" s="18"/>
      <c r="M262" s="18"/>
      <c r="P262" s="18"/>
      <c r="Q262" s="18"/>
      <c r="R262" s="43"/>
      <c r="S262" s="18"/>
      <c r="T262" s="18"/>
      <c r="U262" s="18"/>
      <c r="V262" s="43"/>
      <c r="W262" s="18"/>
      <c r="X262" s="18"/>
    </row>
    <row r="263" spans="1:26" x14ac:dyDescent="0.25">
      <c r="D263" s="18"/>
      <c r="E263" s="18"/>
      <c r="G263" s="18"/>
      <c r="H263" s="18"/>
      <c r="I263" s="18"/>
      <c r="J263" s="43"/>
      <c r="K263" s="18"/>
      <c r="L263" s="18"/>
      <c r="M263" s="18"/>
      <c r="P263" s="18"/>
      <c r="Q263" s="18"/>
      <c r="R263" s="43"/>
      <c r="S263" s="18"/>
      <c r="T263" s="18"/>
      <c r="U263" s="18"/>
      <c r="V263" s="43"/>
      <c r="W263" s="18"/>
      <c r="X26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95870.02</v>
      </c>
      <c r="E18" s="22"/>
      <c r="F18" s="32">
        <f t="shared" ref="F18:F29" si="0">IF(D$12=0,0,D18/D$12)</f>
        <v>0</v>
      </c>
      <c r="G18" s="22"/>
      <c r="H18" s="22">
        <f>SUM(OSRRefH22x_0)</f>
        <v>113449.97702620154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-17579.957026201533</v>
      </c>
      <c r="M18" s="4"/>
      <c r="N18" s="32">
        <f t="shared" ref="N18:N29" si="3">IF(H18=0,0,L18/H18)</f>
        <v>-0.15495778392393506</v>
      </c>
      <c r="O18" s="10"/>
      <c r="P18" s="22">
        <f>SUM(OSRRefP22x_0)</f>
        <v>1095415.9200000004</v>
      </c>
      <c r="Q18" s="22"/>
      <c r="R18" s="32">
        <f t="shared" ref="R18:R29" si="4">IF(P$12=0,0,P18/P$12)</f>
        <v>0</v>
      </c>
      <c r="S18" s="22"/>
      <c r="T18" s="22">
        <f>SUM(OSRRefT22x_0)</f>
        <v>1317536.689847355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-222120.76984735462</v>
      </c>
      <c r="Y18" s="4"/>
      <c r="Z18" s="32">
        <f t="shared" ref="Z18:Z29" si="7">IF(T18=0,0,X18/T18)</f>
        <v>-0.16858791983477039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11134.78</v>
      </c>
      <c r="E19" s="1"/>
      <c r="F19" s="5">
        <f t="shared" si="0"/>
        <v>0</v>
      </c>
      <c r="G19" s="1"/>
      <c r="H19" s="1">
        <f>SUM(OSRRefH22_0x_0)</f>
        <v>7654.9288262015407</v>
      </c>
      <c r="I19" s="1"/>
      <c r="J19" s="5">
        <f t="shared" si="1"/>
        <v>0</v>
      </c>
      <c r="K19" s="1"/>
      <c r="L19" s="1">
        <f t="shared" si="2"/>
        <v>3479.85117379846</v>
      </c>
      <c r="M19" s="1"/>
      <c r="N19" s="5">
        <f t="shared" si="3"/>
        <v>0.45458961837600781</v>
      </c>
      <c r="O19" s="13"/>
      <c r="P19" s="1">
        <f>SUM(OSRRefP22_0x_0)</f>
        <v>85303.580000000016</v>
      </c>
      <c r="Q19" s="1"/>
      <c r="R19" s="5">
        <f t="shared" si="4"/>
        <v>0</v>
      </c>
      <c r="S19" s="1"/>
      <c r="T19" s="1">
        <f>SUM(OSRRefT22_0x_0)</f>
        <v>79845.987197354989</v>
      </c>
      <c r="U19" s="1"/>
      <c r="V19" s="5">
        <f t="shared" si="5"/>
        <v>0</v>
      </c>
      <c r="W19" s="1"/>
      <c r="X19" s="1">
        <f t="shared" si="6"/>
        <v>5457.5928026450274</v>
      </c>
      <c r="Y19" s="1"/>
      <c r="Z19" s="5">
        <f t="shared" si="7"/>
        <v>6.8351497604450903E-2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1737.13</v>
      </c>
      <c r="E20" s="2"/>
      <c r="F20" s="6">
        <f t="shared" si="0"/>
        <v>0</v>
      </c>
      <c r="G20" s="2"/>
      <c r="H20" s="7">
        <v>1621.0965719400001</v>
      </c>
      <c r="I20" s="2"/>
      <c r="J20" s="6">
        <f t="shared" si="1"/>
        <v>0</v>
      </c>
      <c r="K20" s="2"/>
      <c r="L20" s="7">
        <f t="shared" si="2"/>
        <v>116.03342806000001</v>
      </c>
      <c r="M20" s="2"/>
      <c r="N20" s="6">
        <f t="shared" si="3"/>
        <v>7.1577122590013489E-2</v>
      </c>
      <c r="O20" s="11"/>
      <c r="P20" s="7">
        <v>20879.46</v>
      </c>
      <c r="Q20" s="2"/>
      <c r="R20" s="6">
        <f t="shared" si="4"/>
        <v>0</v>
      </c>
      <c r="S20" s="2"/>
      <c r="T20" s="7">
        <v>18894.878827004999</v>
      </c>
      <c r="U20" s="2"/>
      <c r="V20" s="6">
        <f t="shared" si="5"/>
        <v>0</v>
      </c>
      <c r="W20" s="2"/>
      <c r="X20" s="7">
        <f t="shared" si="6"/>
        <v>1984.5811729950001</v>
      </c>
      <c r="Y20" s="2"/>
      <c r="Z20" s="6">
        <f t="shared" si="7"/>
        <v>0.10503275470380845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555.75</v>
      </c>
      <c r="E21" s="2"/>
      <c r="F21" s="6">
        <f t="shared" si="0"/>
        <v>0</v>
      </c>
      <c r="G21" s="2"/>
      <c r="H21" s="7">
        <v>559.40851299999997</v>
      </c>
      <c r="I21" s="2"/>
      <c r="J21" s="6">
        <f t="shared" si="1"/>
        <v>0</v>
      </c>
      <c r="K21" s="2"/>
      <c r="L21" s="7">
        <f t="shared" si="2"/>
        <v>-3.6585129999999708</v>
      </c>
      <c r="M21" s="2"/>
      <c r="N21" s="6">
        <f t="shared" si="3"/>
        <v>-6.5399666164893903E-3</v>
      </c>
      <c r="O21" s="11"/>
      <c r="P21" s="7">
        <v>6414.38</v>
      </c>
      <c r="Q21" s="2"/>
      <c r="R21" s="6">
        <f t="shared" si="4"/>
        <v>0</v>
      </c>
      <c r="S21" s="2"/>
      <c r="T21" s="7">
        <v>7791.9615072499901</v>
      </c>
      <c r="U21" s="2"/>
      <c r="V21" s="6">
        <f t="shared" si="5"/>
        <v>0</v>
      </c>
      <c r="W21" s="2"/>
      <c r="X21" s="7">
        <f t="shared" si="6"/>
        <v>-1377.58150724999</v>
      </c>
      <c r="Y21" s="2"/>
      <c r="Z21" s="6">
        <f t="shared" si="7"/>
        <v>-0.17679521465400289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5096.28</v>
      </c>
      <c r="E22" s="2"/>
      <c r="F22" s="6">
        <f t="shared" si="0"/>
        <v>0</v>
      </c>
      <c r="G22" s="2"/>
      <c r="H22" s="7">
        <v>3355.9615384615399</v>
      </c>
      <c r="I22" s="2"/>
      <c r="J22" s="6">
        <f t="shared" si="1"/>
        <v>0</v>
      </c>
      <c r="K22" s="2"/>
      <c r="L22" s="7">
        <f t="shared" si="2"/>
        <v>1740.3184615384598</v>
      </c>
      <c r="M22" s="2"/>
      <c r="N22" s="6">
        <f t="shared" si="3"/>
        <v>0.51857521058965028</v>
      </c>
      <c r="O22" s="11"/>
      <c r="P22" s="7">
        <v>25140.57</v>
      </c>
      <c r="Q22" s="2"/>
      <c r="R22" s="6">
        <f t="shared" si="4"/>
        <v>0</v>
      </c>
      <c r="S22" s="2"/>
      <c r="T22" s="7">
        <v>31162.5</v>
      </c>
      <c r="U22" s="2"/>
      <c r="V22" s="6">
        <f t="shared" si="5"/>
        <v>0</v>
      </c>
      <c r="W22" s="2"/>
      <c r="X22" s="7">
        <f t="shared" si="6"/>
        <v>-6021.93</v>
      </c>
      <c r="Y22" s="2"/>
      <c r="Z22" s="6">
        <f t="shared" si="7"/>
        <v>-0.19324283995186523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87.01</v>
      </c>
      <c r="E23" s="2"/>
      <c r="F23" s="6">
        <f t="shared" si="0"/>
        <v>0</v>
      </c>
      <c r="G23" s="2"/>
      <c r="H23" s="7">
        <v>78.619574799999995</v>
      </c>
      <c r="I23" s="2"/>
      <c r="J23" s="6">
        <f t="shared" si="1"/>
        <v>0</v>
      </c>
      <c r="K23" s="2"/>
      <c r="L23" s="7">
        <f t="shared" si="2"/>
        <v>8.3904252000000099</v>
      </c>
      <c r="M23" s="2"/>
      <c r="N23" s="6">
        <f t="shared" si="3"/>
        <v>0.1067218338606432</v>
      </c>
      <c r="O23" s="11"/>
      <c r="P23" s="7">
        <v>1004.4</v>
      </c>
      <c r="Q23" s="2"/>
      <c r="R23" s="6">
        <f t="shared" si="4"/>
        <v>0</v>
      </c>
      <c r="S23" s="2"/>
      <c r="T23" s="7">
        <v>1095.0864821</v>
      </c>
      <c r="U23" s="2"/>
      <c r="V23" s="6">
        <f t="shared" si="5"/>
        <v>0</v>
      </c>
      <c r="W23" s="2"/>
      <c r="X23" s="7">
        <f t="shared" si="6"/>
        <v>-90.686482100000035</v>
      </c>
      <c r="Y23" s="2"/>
      <c r="Z23" s="6">
        <f t="shared" si="7"/>
        <v>-8.281216468501601E-2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1040.94</v>
      </c>
      <c r="E24" s="2"/>
      <c r="F24" s="6">
        <f t="shared" si="0"/>
        <v>0</v>
      </c>
      <c r="G24" s="2"/>
      <c r="H24" s="7">
        <v>750.13482799999997</v>
      </c>
      <c r="I24" s="2"/>
      <c r="J24" s="6">
        <f t="shared" si="1"/>
        <v>0</v>
      </c>
      <c r="K24" s="2"/>
      <c r="L24" s="7">
        <f t="shared" si="2"/>
        <v>290.80517200000008</v>
      </c>
      <c r="M24" s="2"/>
      <c r="N24" s="6">
        <f t="shared" si="3"/>
        <v>0.38767053754235242</v>
      </c>
      <c r="O24" s="11"/>
      <c r="P24" s="7">
        <v>11550.77</v>
      </c>
      <c r="Q24" s="2"/>
      <c r="R24" s="6">
        <f t="shared" si="4"/>
        <v>0</v>
      </c>
      <c r="S24" s="2"/>
      <c r="T24" s="7">
        <v>7194.2490310000003</v>
      </c>
      <c r="U24" s="2"/>
      <c r="V24" s="6">
        <f t="shared" si="5"/>
        <v>0</v>
      </c>
      <c r="W24" s="2"/>
      <c r="X24" s="7">
        <f t="shared" si="6"/>
        <v>4356.5209690000002</v>
      </c>
      <c r="Y24" s="2"/>
      <c r="Z24" s="6">
        <f t="shared" si="7"/>
        <v>0.60555604208691727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282.24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282.24</v>
      </c>
      <c r="M26" s="2"/>
      <c r="N26" s="6">
        <f t="shared" si="3"/>
        <v>0</v>
      </c>
      <c r="O26" s="11"/>
      <c r="P26" s="7">
        <v>891.68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891.68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1261.27</v>
      </c>
      <c r="E27" s="2"/>
      <c r="F27" s="6">
        <f t="shared" si="0"/>
        <v>0</v>
      </c>
      <c r="G27" s="2"/>
      <c r="H27" s="7">
        <v>556.12490000000003</v>
      </c>
      <c r="I27" s="2"/>
      <c r="J27" s="6">
        <f t="shared" si="1"/>
        <v>0</v>
      </c>
      <c r="K27" s="2"/>
      <c r="L27" s="7">
        <f t="shared" si="2"/>
        <v>705.14509999999996</v>
      </c>
      <c r="M27" s="2"/>
      <c r="N27" s="6">
        <f t="shared" si="3"/>
        <v>1.2679617474419864</v>
      </c>
      <c r="O27" s="11"/>
      <c r="P27" s="7">
        <v>10333.040000000001</v>
      </c>
      <c r="Q27" s="2"/>
      <c r="R27" s="6">
        <f t="shared" si="4"/>
        <v>0</v>
      </c>
      <c r="S27" s="2"/>
      <c r="T27" s="7">
        <v>5352.7029249999996</v>
      </c>
      <c r="U27" s="2"/>
      <c r="V27" s="6">
        <f t="shared" si="5"/>
        <v>0</v>
      </c>
      <c r="W27" s="2"/>
      <c r="X27" s="7">
        <f t="shared" si="6"/>
        <v>4980.3370750000013</v>
      </c>
      <c r="Y27" s="2"/>
      <c r="Z27" s="6">
        <f t="shared" si="7"/>
        <v>0.93043405262398371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832.35</v>
      </c>
      <c r="E28" s="2"/>
      <c r="F28" s="6">
        <f t="shared" si="0"/>
        <v>0</v>
      </c>
      <c r="G28" s="2"/>
      <c r="H28" s="7">
        <v>733.5829</v>
      </c>
      <c r="I28" s="2"/>
      <c r="J28" s="6">
        <f t="shared" si="1"/>
        <v>0</v>
      </c>
      <c r="K28" s="2"/>
      <c r="L28" s="7">
        <f t="shared" si="2"/>
        <v>98.767100000000028</v>
      </c>
      <c r="M28" s="2"/>
      <c r="N28" s="6">
        <f t="shared" si="3"/>
        <v>0.13463658981145829</v>
      </c>
      <c r="O28" s="11"/>
      <c r="P28" s="7">
        <v>6935.08</v>
      </c>
      <c r="Q28" s="2"/>
      <c r="R28" s="6">
        <f t="shared" si="4"/>
        <v>0</v>
      </c>
      <c r="S28" s="2"/>
      <c r="T28" s="7">
        <v>8354.6084250000004</v>
      </c>
      <c r="U28" s="2"/>
      <c r="V28" s="6">
        <f t="shared" si="5"/>
        <v>0</v>
      </c>
      <c r="W28" s="2"/>
      <c r="X28" s="7">
        <f t="shared" si="6"/>
        <v>-1419.5284250000004</v>
      </c>
      <c r="Y28" s="2"/>
      <c r="Z28" s="6">
        <f t="shared" si="7"/>
        <v>-0.16990962984599728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241.81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241.81</v>
      </c>
      <c r="M29" s="2"/>
      <c r="N29" s="6">
        <f t="shared" si="3"/>
        <v>0</v>
      </c>
      <c r="O29" s="11"/>
      <c r="P29" s="7">
        <v>1752.3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1752.3</v>
      </c>
      <c r="Y29" s="2"/>
      <c r="Z29" s="6">
        <f t="shared" si="7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34369.06</v>
      </c>
      <c r="E30" s="1"/>
      <c r="F30" s="5">
        <f t="shared" ref="F30:F40" si="8">IF(D$12=0,0,D30/D$12)</f>
        <v>0</v>
      </c>
      <c r="G30" s="1"/>
      <c r="H30" s="1">
        <f>SUM(OSRRefH22_1x_0)</f>
        <v>29166.048200000001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5203.0117999999966</v>
      </c>
      <c r="M30" s="1"/>
      <c r="N30" s="5">
        <f t="shared" ref="N30:N40" si="11">IF(H30=0,0,L30/H30)</f>
        <v>0.17839275874199495</v>
      </c>
      <c r="O30" s="13"/>
      <c r="P30" s="1">
        <f>SUM(OSRRefP22_1x_0)</f>
        <v>377972.62</v>
      </c>
      <c r="Q30" s="1"/>
      <c r="R30" s="5">
        <f t="shared" ref="R30:R40" si="12">IF(P$12=0,0,P30/P$12)</f>
        <v>0</v>
      </c>
      <c r="S30" s="1"/>
      <c r="T30" s="1">
        <f>SUM(OSRRefT22_1x_0)</f>
        <v>410871.70264999999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-32899.082649999997</v>
      </c>
      <c r="Y30" s="1"/>
      <c r="Z30" s="5">
        <f t="shared" ref="Z30:Z40" si="15">IF(T30=0,0,X30/T30)</f>
        <v>-8.0071424821448453E-2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4279.74</v>
      </c>
      <c r="E31" s="2"/>
      <c r="F31" s="6">
        <f t="shared" si="8"/>
        <v>0</v>
      </c>
      <c r="G31" s="2"/>
      <c r="H31" s="7">
        <v>3807.6923076923099</v>
      </c>
      <c r="I31" s="2"/>
      <c r="J31" s="6">
        <f t="shared" si="9"/>
        <v>0</v>
      </c>
      <c r="K31" s="2"/>
      <c r="L31" s="7">
        <f t="shared" si="10"/>
        <v>472.04769230768989</v>
      </c>
      <c r="M31" s="2"/>
      <c r="N31" s="6">
        <f t="shared" si="11"/>
        <v>0.12397212121212051</v>
      </c>
      <c r="O31" s="11"/>
      <c r="P31" s="7">
        <v>39087.65</v>
      </c>
      <c r="Q31" s="2"/>
      <c r="R31" s="6">
        <f t="shared" si="12"/>
        <v>0</v>
      </c>
      <c r="S31" s="2"/>
      <c r="T31" s="7">
        <v>37125</v>
      </c>
      <c r="U31" s="2"/>
      <c r="V31" s="6">
        <f t="shared" si="13"/>
        <v>0</v>
      </c>
      <c r="W31" s="2"/>
      <c r="X31" s="7">
        <f t="shared" si="14"/>
        <v>1962.6500000000015</v>
      </c>
      <c r="Y31" s="2"/>
      <c r="Z31" s="6">
        <f t="shared" si="15"/>
        <v>5.2865993265993304E-2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9584.6299999999992</v>
      </c>
      <c r="E32" s="2"/>
      <c r="F32" s="6">
        <f t="shared" si="8"/>
        <v>0</v>
      </c>
      <c r="G32" s="2"/>
      <c r="H32" s="7">
        <v>4042.5558923076901</v>
      </c>
      <c r="I32" s="2"/>
      <c r="J32" s="6">
        <f t="shared" si="9"/>
        <v>0</v>
      </c>
      <c r="K32" s="2"/>
      <c r="L32" s="7">
        <f t="shared" si="10"/>
        <v>5542.0741076923096</v>
      </c>
      <c r="M32" s="2"/>
      <c r="N32" s="6">
        <f t="shared" si="11"/>
        <v>1.3709332054599301</v>
      </c>
      <c r="O32" s="11"/>
      <c r="P32" s="7">
        <v>82663.990000000005</v>
      </c>
      <c r="Q32" s="2"/>
      <c r="R32" s="6">
        <f t="shared" si="12"/>
        <v>0</v>
      </c>
      <c r="S32" s="2"/>
      <c r="T32" s="7">
        <v>38163.652650000004</v>
      </c>
      <c r="U32" s="2"/>
      <c r="V32" s="6">
        <f t="shared" si="13"/>
        <v>0</v>
      </c>
      <c r="W32" s="2"/>
      <c r="X32" s="7">
        <f t="shared" si="14"/>
        <v>44500.337350000002</v>
      </c>
      <c r="Y32" s="2"/>
      <c r="Z32" s="6">
        <f t="shared" si="15"/>
        <v>1.1660397855025546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2986.56</v>
      </c>
      <c r="E34" s="2"/>
      <c r="F34" s="6">
        <f t="shared" si="8"/>
        <v>0</v>
      </c>
      <c r="G34" s="2"/>
      <c r="H34" s="7">
        <v>12260</v>
      </c>
      <c r="I34" s="2"/>
      <c r="J34" s="6">
        <f t="shared" si="9"/>
        <v>0</v>
      </c>
      <c r="K34" s="2"/>
      <c r="L34" s="7">
        <f t="shared" si="10"/>
        <v>-9273.44</v>
      </c>
      <c r="M34" s="2"/>
      <c r="N34" s="6">
        <f t="shared" si="11"/>
        <v>-0.75639804241435571</v>
      </c>
      <c r="O34" s="11"/>
      <c r="P34" s="7">
        <v>25362.65</v>
      </c>
      <c r="Q34" s="2"/>
      <c r="R34" s="6">
        <f t="shared" si="12"/>
        <v>0</v>
      </c>
      <c r="S34" s="2"/>
      <c r="T34" s="7">
        <v>118365</v>
      </c>
      <c r="U34" s="2"/>
      <c r="V34" s="6">
        <f t="shared" si="13"/>
        <v>0</v>
      </c>
      <c r="W34" s="2"/>
      <c r="X34" s="7">
        <f t="shared" si="14"/>
        <v>-93002.35</v>
      </c>
      <c r="Y34" s="2"/>
      <c r="Z34" s="6">
        <f t="shared" si="15"/>
        <v>-0.78572508765260007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4979.6000000000004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4979.6000000000004</v>
      </c>
      <c r="M35" s="2"/>
      <c r="N35" s="6">
        <f t="shared" si="11"/>
        <v>0</v>
      </c>
      <c r="O35" s="11"/>
      <c r="P35" s="7">
        <v>65306.79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65306.79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>
        <v>546.70000000000005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546.70000000000005</v>
      </c>
      <c r="M36" s="2"/>
      <c r="N36" s="6">
        <f t="shared" si="11"/>
        <v>0</v>
      </c>
      <c r="O36" s="11"/>
      <c r="P36" s="7">
        <v>10780.39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10780.39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11991.83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11991.83</v>
      </c>
      <c r="M37" s="2"/>
      <c r="N37" s="6">
        <f t="shared" si="11"/>
        <v>0</v>
      </c>
      <c r="O37" s="11"/>
      <c r="P37" s="7">
        <v>154771.15</v>
      </c>
      <c r="Q37" s="2"/>
      <c r="R37" s="6">
        <f t="shared" si="12"/>
        <v>0</v>
      </c>
      <c r="S37" s="2"/>
      <c r="T37" s="7">
        <v>42926</v>
      </c>
      <c r="U37" s="2"/>
      <c r="V37" s="6">
        <f t="shared" si="13"/>
        <v>0</v>
      </c>
      <c r="W37" s="2"/>
      <c r="X37" s="7">
        <f t="shared" si="14"/>
        <v>111845.15</v>
      </c>
      <c r="Y37" s="2"/>
      <c r="Z37" s="6">
        <f t="shared" si="15"/>
        <v>2.6055339421329728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9055.7999999999993</v>
      </c>
      <c r="I38" s="2"/>
      <c r="J38" s="6">
        <f t="shared" si="9"/>
        <v>0</v>
      </c>
      <c r="K38" s="2"/>
      <c r="L38" s="7">
        <f t="shared" si="10"/>
        <v>-9055.7999999999993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174292.05</v>
      </c>
      <c r="U38" s="2"/>
      <c r="V38" s="6">
        <f t="shared" si="13"/>
        <v>0</v>
      </c>
      <c r="W38" s="2"/>
      <c r="X38" s="7">
        <f t="shared" si="14"/>
        <v>-174292.05</v>
      </c>
      <c r="Y38" s="2"/>
      <c r="Z38" s="6">
        <f t="shared" si="15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3"/>
      <c r="P41" s="1">
        <f>SUM(OSRRefP22_2x_0)</f>
        <v>225</v>
      </c>
      <c r="Q41" s="1"/>
      <c r="R41" s="5">
        <f t="shared" ref="R41:R45" si="20">IF(P$12=0,0,P41/P$12)</f>
        <v>0</v>
      </c>
      <c r="S41" s="1"/>
      <c r="T41" s="1">
        <f>SUM(OSRRefT22_2x_0)</f>
        <v>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225</v>
      </c>
      <c r="Y41" s="1"/>
      <c r="Z41" s="5">
        <f t="shared" ref="Z41:Z45" si="23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225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225</v>
      </c>
      <c r="Y42" s="2"/>
      <c r="Z42" s="6">
        <f t="shared" si="23"/>
        <v>0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3.9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-96.1</v>
      </c>
      <c r="M43" s="1"/>
      <c r="N43" s="5">
        <f t="shared" si="19"/>
        <v>-0.96099999999999997</v>
      </c>
      <c r="O43" s="13"/>
      <c r="P43" s="1">
        <f>SUM(OSRRefP22_3x_0)</f>
        <v>5206.21</v>
      </c>
      <c r="Q43" s="1"/>
      <c r="R43" s="5">
        <f t="shared" si="20"/>
        <v>0</v>
      </c>
      <c r="S43" s="1"/>
      <c r="T43" s="1">
        <f>SUM(OSRRefT22_3x_0)</f>
        <v>900</v>
      </c>
      <c r="U43" s="1"/>
      <c r="V43" s="5">
        <f t="shared" si="21"/>
        <v>0</v>
      </c>
      <c r="W43" s="1"/>
      <c r="X43" s="1">
        <f t="shared" si="22"/>
        <v>4306.21</v>
      </c>
      <c r="Y43" s="1"/>
      <c r="Z43" s="5">
        <f t="shared" si="23"/>
        <v>4.7846777777777776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>
        <v>3.9</v>
      </c>
      <c r="E44" s="2"/>
      <c r="F44" s="6">
        <f t="shared" si="16"/>
        <v>0</v>
      </c>
      <c r="G44" s="2"/>
      <c r="H44" s="7">
        <v>50</v>
      </c>
      <c r="I44" s="2"/>
      <c r="J44" s="6">
        <f t="shared" si="17"/>
        <v>0</v>
      </c>
      <c r="K44" s="2"/>
      <c r="L44" s="7">
        <f t="shared" si="18"/>
        <v>-46.1</v>
      </c>
      <c r="M44" s="2"/>
      <c r="N44" s="6">
        <f t="shared" si="19"/>
        <v>-0.92200000000000004</v>
      </c>
      <c r="O44" s="11"/>
      <c r="P44" s="7">
        <v>-143.21</v>
      </c>
      <c r="Q44" s="2"/>
      <c r="R44" s="6">
        <f t="shared" si="20"/>
        <v>0</v>
      </c>
      <c r="S44" s="2"/>
      <c r="T44" s="7">
        <v>450</v>
      </c>
      <c r="U44" s="2"/>
      <c r="V44" s="6">
        <f t="shared" si="21"/>
        <v>0</v>
      </c>
      <c r="W44" s="2"/>
      <c r="X44" s="7">
        <f t="shared" si="22"/>
        <v>-593.21</v>
      </c>
      <c r="Y44" s="2"/>
      <c r="Z44" s="6">
        <f t="shared" si="23"/>
        <v>-1.3182444444444446</v>
      </c>
    </row>
    <row r="45" spans="1:26" s="24" customFormat="1" hidden="1" outlineLevel="2" x14ac:dyDescent="0.25">
      <c r="A45" s="26"/>
      <c r="B45" s="11" t="str">
        <f>CONCATENATE("          ", "6342", " - ", "BAD DEBT")</f>
        <v xml:space="preserve">          6342 - BAD DEBT</v>
      </c>
      <c r="C45" s="11"/>
      <c r="D45" s="7"/>
      <c r="E45" s="2"/>
      <c r="F45" s="6">
        <f t="shared" si="16"/>
        <v>0</v>
      </c>
      <c r="G45" s="2"/>
      <c r="H45" s="7">
        <v>50</v>
      </c>
      <c r="I45" s="2"/>
      <c r="J45" s="6">
        <f t="shared" si="17"/>
        <v>0</v>
      </c>
      <c r="K45" s="2"/>
      <c r="L45" s="7">
        <f t="shared" si="18"/>
        <v>-50</v>
      </c>
      <c r="M45" s="2"/>
      <c r="N45" s="6">
        <f t="shared" si="19"/>
        <v>-1</v>
      </c>
      <c r="O45" s="11"/>
      <c r="P45" s="7">
        <v>5349.42</v>
      </c>
      <c r="Q45" s="2"/>
      <c r="R45" s="6">
        <f t="shared" si="20"/>
        <v>0</v>
      </c>
      <c r="S45" s="2"/>
      <c r="T45" s="7">
        <v>450</v>
      </c>
      <c r="U45" s="2"/>
      <c r="V45" s="6">
        <f t="shared" si="21"/>
        <v>0</v>
      </c>
      <c r="W45" s="2"/>
      <c r="X45" s="7">
        <f t="shared" si="22"/>
        <v>4899.42</v>
      </c>
      <c r="Y45" s="2"/>
      <c r="Z45" s="6">
        <f t="shared" si="23"/>
        <v>10.887600000000001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3353.76</v>
      </c>
      <c r="E46" s="1"/>
      <c r="F46" s="5">
        <f t="shared" ref="F46:F50" si="24">IF(D$12=0,0,D46/D$12)</f>
        <v>0</v>
      </c>
      <c r="G46" s="1"/>
      <c r="H46" s="1">
        <f>SUM(OSRRefH22_4x_0)</f>
        <v>14000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-10646.24</v>
      </c>
      <c r="M46" s="1"/>
      <c r="N46" s="5">
        <f t="shared" ref="N46:N50" si="27">IF(H46=0,0,L46/H46)</f>
        <v>-0.76044571428571428</v>
      </c>
      <c r="O46" s="13"/>
      <c r="P46" s="1">
        <f>SUM(OSRRefP22_4x_0)</f>
        <v>65987.11</v>
      </c>
      <c r="Q46" s="1"/>
      <c r="R46" s="5">
        <f t="shared" ref="R46:R50" si="28">IF(P$12=0,0,P46/P$12)</f>
        <v>0</v>
      </c>
      <c r="S46" s="1"/>
      <c r="T46" s="1">
        <f>SUM(OSRRefT22_4x_0)</f>
        <v>154000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-88012.89</v>
      </c>
      <c r="Y46" s="1"/>
      <c r="Z46" s="5">
        <f t="shared" ref="Z46:Z50" si="31">IF(T46=0,0,X46/T46)</f>
        <v>-0.57151227272727267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7">
        <v>3353.76</v>
      </c>
      <c r="E47" s="2"/>
      <c r="F47" s="6">
        <f t="shared" si="24"/>
        <v>0</v>
      </c>
      <c r="G47" s="2"/>
      <c r="H47" s="7">
        <v>14000</v>
      </c>
      <c r="I47" s="2"/>
      <c r="J47" s="6">
        <f t="shared" si="25"/>
        <v>0</v>
      </c>
      <c r="K47" s="2"/>
      <c r="L47" s="7">
        <f t="shared" si="26"/>
        <v>-10646.24</v>
      </c>
      <c r="M47" s="2"/>
      <c r="N47" s="6">
        <f t="shared" si="27"/>
        <v>-0.76044571428571428</v>
      </c>
      <c r="O47" s="11"/>
      <c r="P47" s="7">
        <v>65987.11</v>
      </c>
      <c r="Q47" s="2"/>
      <c r="R47" s="6">
        <f t="shared" si="28"/>
        <v>0</v>
      </c>
      <c r="S47" s="2"/>
      <c r="T47" s="7">
        <v>154000</v>
      </c>
      <c r="U47" s="2"/>
      <c r="V47" s="6">
        <f t="shared" si="29"/>
        <v>0</v>
      </c>
      <c r="W47" s="2"/>
      <c r="X47" s="7">
        <f t="shared" si="30"/>
        <v>-88012.89</v>
      </c>
      <c r="Y47" s="2"/>
      <c r="Z47" s="6">
        <f t="shared" si="31"/>
        <v>-0.57151227272727267</v>
      </c>
    </row>
    <row r="48" spans="1:26" s="25" customFormat="1" outlineLevel="1" collapsed="1" x14ac:dyDescent="0.25">
      <c r="A48" s="27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30565.97</v>
      </c>
      <c r="E48" s="1"/>
      <c r="F48" s="5">
        <f t="shared" si="24"/>
        <v>0</v>
      </c>
      <c r="G48" s="1"/>
      <c r="H48" s="1">
        <f>SUM(OSRRefH22_5x_0)</f>
        <v>30124</v>
      </c>
      <c r="I48" s="1"/>
      <c r="J48" s="5">
        <f t="shared" si="25"/>
        <v>0</v>
      </c>
      <c r="K48" s="1"/>
      <c r="L48" s="1">
        <f t="shared" si="26"/>
        <v>441.97000000000116</v>
      </c>
      <c r="M48" s="1"/>
      <c r="N48" s="5">
        <f t="shared" si="27"/>
        <v>1.4671690346567559E-2</v>
      </c>
      <c r="O48" s="13"/>
      <c r="P48" s="1">
        <f>SUM(OSRRefP22_5x_0)</f>
        <v>275389.21999999997</v>
      </c>
      <c r="Q48" s="1"/>
      <c r="R48" s="5">
        <f t="shared" si="28"/>
        <v>0</v>
      </c>
      <c r="S48" s="1"/>
      <c r="T48" s="1">
        <f>SUM(OSRRefT22_5x_0)</f>
        <v>272124</v>
      </c>
      <c r="U48" s="1"/>
      <c r="V48" s="5">
        <f t="shared" si="29"/>
        <v>0</v>
      </c>
      <c r="W48" s="1"/>
      <c r="X48" s="1">
        <f t="shared" si="30"/>
        <v>3265.2199999999721</v>
      </c>
      <c r="Y48" s="1"/>
      <c r="Z48" s="5">
        <f t="shared" si="31"/>
        <v>1.1999015154855772E-2</v>
      </c>
    </row>
    <row r="49" spans="1:26" s="24" customFormat="1" hidden="1" outlineLevel="2" x14ac:dyDescent="0.25">
      <c r="A49" s="26"/>
      <c r="B49" s="11" t="str">
        <f>CONCATENATE("          ", "6321", " - ", "BUILDING DEPRECIATION")</f>
        <v xml:space="preserve">          6321 - BUILDING DEPRECIATION</v>
      </c>
      <c r="C49" s="11"/>
      <c r="D49" s="7">
        <v>16396.52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16396.52</v>
      </c>
      <c r="M49" s="2"/>
      <c r="N49" s="6">
        <f t="shared" si="27"/>
        <v>0</v>
      </c>
      <c r="O49" s="11"/>
      <c r="P49" s="7">
        <v>147568.68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147568.68</v>
      </c>
      <c r="Y49" s="2"/>
      <c r="Z49" s="6">
        <f t="shared" si="31"/>
        <v>0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14169.45</v>
      </c>
      <c r="E50" s="2"/>
      <c r="F50" s="6">
        <f t="shared" si="24"/>
        <v>0</v>
      </c>
      <c r="G50" s="2"/>
      <c r="H50" s="7">
        <v>30124</v>
      </c>
      <c r="I50" s="2"/>
      <c r="J50" s="6">
        <f t="shared" si="25"/>
        <v>0</v>
      </c>
      <c r="K50" s="2"/>
      <c r="L50" s="7">
        <f t="shared" si="26"/>
        <v>-15954.55</v>
      </c>
      <c r="M50" s="2"/>
      <c r="N50" s="6">
        <f t="shared" si="27"/>
        <v>-0.52962919930952057</v>
      </c>
      <c r="O50" s="11"/>
      <c r="P50" s="7">
        <v>127820.54</v>
      </c>
      <c r="Q50" s="2"/>
      <c r="R50" s="6">
        <f t="shared" si="28"/>
        <v>0</v>
      </c>
      <c r="S50" s="2"/>
      <c r="T50" s="7">
        <v>272124</v>
      </c>
      <c r="U50" s="2"/>
      <c r="V50" s="6">
        <f t="shared" si="29"/>
        <v>0</v>
      </c>
      <c r="W50" s="2"/>
      <c r="X50" s="7">
        <f t="shared" si="30"/>
        <v>-144303.46000000002</v>
      </c>
      <c r="Y50" s="2"/>
      <c r="Z50" s="6">
        <f t="shared" si="31"/>
        <v>-0.5302856785877027</v>
      </c>
    </row>
    <row r="51" spans="1:26" s="25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SUM(OSRRefD22_6x_0)</f>
        <v>0</v>
      </c>
      <c r="E51" s="1"/>
      <c r="F51" s="5">
        <f t="shared" ref="F51:F71" si="32">IF(D$12=0,0,D51/D$12)</f>
        <v>0</v>
      </c>
      <c r="G51" s="1"/>
      <c r="H51" s="1">
        <f>SUM(OSRRefH22_6x_0)</f>
        <v>1000</v>
      </c>
      <c r="I51" s="1"/>
      <c r="J51" s="5">
        <f t="shared" ref="J51:J71" si="33">IF(H$12=0,0,H51/H$12)</f>
        <v>0</v>
      </c>
      <c r="K51" s="1"/>
      <c r="L51" s="1">
        <f t="shared" ref="L51:L71" si="34">+D51-H51</f>
        <v>-1000</v>
      </c>
      <c r="M51" s="1"/>
      <c r="N51" s="5">
        <f t="shared" ref="N51:N71" si="35">IF(H51=0,0,L51/H51)</f>
        <v>-1</v>
      </c>
      <c r="O51" s="13"/>
      <c r="P51" s="1">
        <f>SUM(OSRRefP22_6x_0)</f>
        <v>0</v>
      </c>
      <c r="Q51" s="1"/>
      <c r="R51" s="5">
        <f t="shared" ref="R51:R71" si="36">IF(P$12=0,0,P51/P$12)</f>
        <v>0</v>
      </c>
      <c r="S51" s="1"/>
      <c r="T51" s="1">
        <f>SUM(OSRRefT22_6x_0)</f>
        <v>9000</v>
      </c>
      <c r="U51" s="1"/>
      <c r="V51" s="5">
        <f t="shared" ref="V51:V71" si="37">IF(T$12=0,0,T51/T$12)</f>
        <v>0</v>
      </c>
      <c r="W51" s="1"/>
      <c r="X51" s="1">
        <f t="shared" ref="X51:X71" si="38">+P51-T51</f>
        <v>-9000</v>
      </c>
      <c r="Y51" s="1"/>
      <c r="Z51" s="5">
        <f t="shared" ref="Z51:Z71" si="39">IF(T51=0,0,X51/T51)</f>
        <v>-1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32"/>
        <v>0</v>
      </c>
      <c r="G52" s="2"/>
      <c r="H52" s="7">
        <v>1000</v>
      </c>
      <c r="I52" s="2"/>
      <c r="J52" s="6">
        <f t="shared" si="33"/>
        <v>0</v>
      </c>
      <c r="K52" s="2"/>
      <c r="L52" s="7">
        <f t="shared" si="34"/>
        <v>-1000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9000</v>
      </c>
      <c r="U52" s="2"/>
      <c r="V52" s="6">
        <f t="shared" si="37"/>
        <v>0</v>
      </c>
      <c r="W52" s="2"/>
      <c r="X52" s="7">
        <f t="shared" si="38"/>
        <v>-9000</v>
      </c>
      <c r="Y52" s="2"/>
      <c r="Z52" s="6">
        <f t="shared" si="39"/>
        <v>-1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125</v>
      </c>
      <c r="I53" s="1"/>
      <c r="J53" s="5">
        <f t="shared" si="33"/>
        <v>0</v>
      </c>
      <c r="K53" s="1"/>
      <c r="L53" s="1">
        <f t="shared" si="34"/>
        <v>-125</v>
      </c>
      <c r="M53" s="1"/>
      <c r="N53" s="5">
        <f t="shared" si="35"/>
        <v>-1</v>
      </c>
      <c r="O53" s="13"/>
      <c r="P53" s="1">
        <f>SUM(OSRRefP22_7x_0)</f>
        <v>78.33</v>
      </c>
      <c r="Q53" s="1"/>
      <c r="R53" s="5">
        <f t="shared" si="36"/>
        <v>0</v>
      </c>
      <c r="S53" s="1"/>
      <c r="T53" s="1">
        <f>SUM(OSRRefT22_7x_0)</f>
        <v>1225</v>
      </c>
      <c r="U53" s="1"/>
      <c r="V53" s="5">
        <f t="shared" si="37"/>
        <v>0</v>
      </c>
      <c r="W53" s="1"/>
      <c r="X53" s="1">
        <f t="shared" si="38"/>
        <v>-1146.67</v>
      </c>
      <c r="Y53" s="1"/>
      <c r="Z53" s="5">
        <f t="shared" si="39"/>
        <v>-0.93605714285714292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2"/>
        <v>0</v>
      </c>
      <c r="G54" s="2"/>
      <c r="H54" s="7">
        <v>125</v>
      </c>
      <c r="I54" s="2"/>
      <c r="J54" s="6">
        <f t="shared" si="33"/>
        <v>0</v>
      </c>
      <c r="K54" s="2"/>
      <c r="L54" s="7">
        <f t="shared" si="34"/>
        <v>-125</v>
      </c>
      <c r="M54" s="2"/>
      <c r="N54" s="6">
        <f t="shared" si="35"/>
        <v>-1</v>
      </c>
      <c r="O54" s="11"/>
      <c r="P54" s="7">
        <v>78.33</v>
      </c>
      <c r="Q54" s="2"/>
      <c r="R54" s="6">
        <f t="shared" si="36"/>
        <v>0</v>
      </c>
      <c r="S54" s="2"/>
      <c r="T54" s="7">
        <v>1225</v>
      </c>
      <c r="U54" s="2"/>
      <c r="V54" s="6">
        <f t="shared" si="37"/>
        <v>0</v>
      </c>
      <c r="W54" s="2"/>
      <c r="X54" s="7">
        <f t="shared" si="38"/>
        <v>-1146.67</v>
      </c>
      <c r="Y54" s="2"/>
      <c r="Z54" s="6">
        <f t="shared" si="39"/>
        <v>-0.93605714285714292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SUM(OSRRefD22_8x_0)</f>
        <v>0</v>
      </c>
      <c r="E55" s="1"/>
      <c r="F55" s="5">
        <f t="shared" si="32"/>
        <v>0</v>
      </c>
      <c r="G55" s="1"/>
      <c r="H55" s="1">
        <f>SUM(OSRRefH22_8x_0)</f>
        <v>1700</v>
      </c>
      <c r="I55" s="1"/>
      <c r="J55" s="5">
        <f t="shared" si="33"/>
        <v>0</v>
      </c>
      <c r="K55" s="1"/>
      <c r="L55" s="1">
        <f t="shared" si="34"/>
        <v>-1700</v>
      </c>
      <c r="M55" s="1"/>
      <c r="N55" s="5">
        <f t="shared" si="35"/>
        <v>-1</v>
      </c>
      <c r="O55" s="13"/>
      <c r="P55" s="1">
        <f>SUM(OSRRefP22_8x_0)</f>
        <v>1773.91</v>
      </c>
      <c r="Q55" s="1"/>
      <c r="R55" s="5">
        <f t="shared" si="36"/>
        <v>0</v>
      </c>
      <c r="S55" s="1"/>
      <c r="T55" s="1">
        <f>SUM(OSRRefT22_8x_0)</f>
        <v>15300</v>
      </c>
      <c r="U55" s="1"/>
      <c r="V55" s="5">
        <f t="shared" si="37"/>
        <v>0</v>
      </c>
      <c r="W55" s="1"/>
      <c r="X55" s="1">
        <f t="shared" si="38"/>
        <v>-13526.09</v>
      </c>
      <c r="Y55" s="1"/>
      <c r="Z55" s="5">
        <f t="shared" si="39"/>
        <v>-0.88405816993464048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7"/>
      <c r="E56" s="2"/>
      <c r="F56" s="6">
        <f t="shared" si="32"/>
        <v>0</v>
      </c>
      <c r="G56" s="2"/>
      <c r="H56" s="7">
        <v>1700</v>
      </c>
      <c r="I56" s="2"/>
      <c r="J56" s="6">
        <f t="shared" si="33"/>
        <v>0</v>
      </c>
      <c r="K56" s="2"/>
      <c r="L56" s="7">
        <f t="shared" si="34"/>
        <v>-1700</v>
      </c>
      <c r="M56" s="2"/>
      <c r="N56" s="6">
        <f t="shared" si="35"/>
        <v>-1</v>
      </c>
      <c r="O56" s="11"/>
      <c r="P56" s="7">
        <v>1773.91</v>
      </c>
      <c r="Q56" s="2"/>
      <c r="R56" s="6">
        <f t="shared" si="36"/>
        <v>0</v>
      </c>
      <c r="S56" s="2"/>
      <c r="T56" s="7">
        <v>15300</v>
      </c>
      <c r="U56" s="2"/>
      <c r="V56" s="6">
        <f t="shared" si="37"/>
        <v>0</v>
      </c>
      <c r="W56" s="2"/>
      <c r="X56" s="7">
        <f t="shared" si="38"/>
        <v>-13526.09</v>
      </c>
      <c r="Y56" s="2"/>
      <c r="Z56" s="6">
        <f t="shared" si="39"/>
        <v>-0.88405816993464048</v>
      </c>
    </row>
    <row r="57" spans="1:26" s="25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SUM(OSRRefD22_9x_0)</f>
        <v>15.95</v>
      </c>
      <c r="E57" s="1"/>
      <c r="F57" s="5">
        <f t="shared" si="32"/>
        <v>0</v>
      </c>
      <c r="G57" s="1"/>
      <c r="H57" s="1">
        <f>SUM(OSRRefH22_9x_0)</f>
        <v>10</v>
      </c>
      <c r="I57" s="1"/>
      <c r="J57" s="5">
        <f t="shared" si="33"/>
        <v>0</v>
      </c>
      <c r="K57" s="1"/>
      <c r="L57" s="1">
        <f t="shared" si="34"/>
        <v>5.9499999999999993</v>
      </c>
      <c r="M57" s="1"/>
      <c r="N57" s="5">
        <f t="shared" si="35"/>
        <v>0.59499999999999997</v>
      </c>
      <c r="O57" s="13"/>
      <c r="P57" s="1">
        <f>SUM(OSRRefP22_9x_0)</f>
        <v>2033.6</v>
      </c>
      <c r="Q57" s="1"/>
      <c r="R57" s="5">
        <f t="shared" si="36"/>
        <v>0</v>
      </c>
      <c r="S57" s="1"/>
      <c r="T57" s="1">
        <f>SUM(OSRRefT22_9x_0)</f>
        <v>90</v>
      </c>
      <c r="U57" s="1"/>
      <c r="V57" s="5">
        <f t="shared" si="37"/>
        <v>0</v>
      </c>
      <c r="W57" s="1"/>
      <c r="X57" s="1">
        <f t="shared" si="38"/>
        <v>1943.6</v>
      </c>
      <c r="Y57" s="1"/>
      <c r="Z57" s="5">
        <f t="shared" si="39"/>
        <v>21.595555555555556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7">
        <v>15.95</v>
      </c>
      <c r="E58" s="2"/>
      <c r="F58" s="6">
        <f t="shared" si="32"/>
        <v>0</v>
      </c>
      <c r="G58" s="2"/>
      <c r="H58" s="7">
        <v>10</v>
      </c>
      <c r="I58" s="2"/>
      <c r="J58" s="6">
        <f t="shared" si="33"/>
        <v>0</v>
      </c>
      <c r="K58" s="2"/>
      <c r="L58" s="7">
        <f t="shared" si="34"/>
        <v>5.9499999999999993</v>
      </c>
      <c r="M58" s="2"/>
      <c r="N58" s="6">
        <f t="shared" si="35"/>
        <v>0.59499999999999997</v>
      </c>
      <c r="O58" s="11"/>
      <c r="P58" s="7">
        <v>2033.6</v>
      </c>
      <c r="Q58" s="2"/>
      <c r="R58" s="6">
        <f t="shared" si="36"/>
        <v>0</v>
      </c>
      <c r="S58" s="2"/>
      <c r="T58" s="7">
        <v>90</v>
      </c>
      <c r="U58" s="2"/>
      <c r="V58" s="6">
        <f t="shared" si="37"/>
        <v>0</v>
      </c>
      <c r="W58" s="2"/>
      <c r="X58" s="7">
        <f t="shared" si="38"/>
        <v>1943.6</v>
      </c>
      <c r="Y58" s="2"/>
      <c r="Z58" s="6">
        <f t="shared" si="39"/>
        <v>21.595555555555556</v>
      </c>
    </row>
    <row r="59" spans="1:26" s="25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SUM(OSRRefD22_10x_0)</f>
        <v>0</v>
      </c>
      <c r="E59" s="1"/>
      <c r="F59" s="5">
        <f t="shared" si="32"/>
        <v>0</v>
      </c>
      <c r="G59" s="1"/>
      <c r="H59" s="1">
        <f>SUM(OSRRefH22_10x_0)</f>
        <v>500</v>
      </c>
      <c r="I59" s="1"/>
      <c r="J59" s="5">
        <f t="shared" si="33"/>
        <v>0</v>
      </c>
      <c r="K59" s="1"/>
      <c r="L59" s="1">
        <f t="shared" si="34"/>
        <v>-500</v>
      </c>
      <c r="M59" s="1"/>
      <c r="N59" s="5">
        <f t="shared" si="35"/>
        <v>-1</v>
      </c>
      <c r="O59" s="13"/>
      <c r="P59" s="1">
        <f>SUM(OSRRefP22_10x_0)</f>
        <v>1386.81</v>
      </c>
      <c r="Q59" s="1"/>
      <c r="R59" s="5">
        <f t="shared" si="36"/>
        <v>0</v>
      </c>
      <c r="S59" s="1"/>
      <c r="T59" s="1">
        <f>SUM(OSRRefT22_10x_0)</f>
        <v>4500</v>
      </c>
      <c r="U59" s="1"/>
      <c r="V59" s="5">
        <f t="shared" si="37"/>
        <v>0</v>
      </c>
      <c r="W59" s="1"/>
      <c r="X59" s="1">
        <f t="shared" si="38"/>
        <v>-3113.19</v>
      </c>
      <c r="Y59" s="1"/>
      <c r="Z59" s="5">
        <f t="shared" si="39"/>
        <v>-0.69181999999999999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2"/>
        <v>0</v>
      </c>
      <c r="G60" s="2"/>
      <c r="H60" s="7">
        <v>500</v>
      </c>
      <c r="I60" s="2"/>
      <c r="J60" s="6">
        <f t="shared" si="33"/>
        <v>0</v>
      </c>
      <c r="K60" s="2"/>
      <c r="L60" s="7">
        <f t="shared" si="34"/>
        <v>-500</v>
      </c>
      <c r="M60" s="2"/>
      <c r="N60" s="6">
        <f t="shared" si="35"/>
        <v>-1</v>
      </c>
      <c r="O60" s="11"/>
      <c r="P60" s="7">
        <v>1386.81</v>
      </c>
      <c r="Q60" s="2"/>
      <c r="R60" s="6">
        <f t="shared" si="36"/>
        <v>0</v>
      </c>
      <c r="S60" s="2"/>
      <c r="T60" s="7">
        <v>4500</v>
      </c>
      <c r="U60" s="2"/>
      <c r="V60" s="6">
        <f t="shared" si="37"/>
        <v>0</v>
      </c>
      <c r="W60" s="2"/>
      <c r="X60" s="7">
        <f t="shared" si="38"/>
        <v>-3113.19</v>
      </c>
      <c r="Y60" s="2"/>
      <c r="Z60" s="6">
        <f t="shared" si="39"/>
        <v>-0.69181999999999999</v>
      </c>
    </row>
    <row r="61" spans="1:26" s="25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SUM(OSRRefD22_11x_0)</f>
        <v>3883.56</v>
      </c>
      <c r="E61" s="1"/>
      <c r="F61" s="5">
        <f t="shared" si="32"/>
        <v>0</v>
      </c>
      <c r="G61" s="1"/>
      <c r="H61" s="1">
        <f>SUM(OSRRefH22_11x_0)</f>
        <v>4270</v>
      </c>
      <c r="I61" s="1"/>
      <c r="J61" s="5">
        <f t="shared" si="33"/>
        <v>0</v>
      </c>
      <c r="K61" s="1"/>
      <c r="L61" s="1">
        <f t="shared" si="34"/>
        <v>-386.44000000000005</v>
      </c>
      <c r="M61" s="1"/>
      <c r="N61" s="5">
        <f t="shared" si="35"/>
        <v>-9.0501170960187366E-2</v>
      </c>
      <c r="O61" s="13"/>
      <c r="P61" s="1">
        <f>SUM(OSRRefP22_11x_0)</f>
        <v>34952.04</v>
      </c>
      <c r="Q61" s="1"/>
      <c r="R61" s="5">
        <f t="shared" si="36"/>
        <v>0</v>
      </c>
      <c r="S61" s="1"/>
      <c r="T61" s="1">
        <f>SUM(OSRRefT22_11x_0)</f>
        <v>38430</v>
      </c>
      <c r="U61" s="1"/>
      <c r="V61" s="5">
        <f t="shared" si="37"/>
        <v>0</v>
      </c>
      <c r="W61" s="1"/>
      <c r="X61" s="1">
        <f t="shared" si="38"/>
        <v>-3477.9599999999991</v>
      </c>
      <c r="Y61" s="1"/>
      <c r="Z61" s="5">
        <f t="shared" si="39"/>
        <v>-9.0501170960187324E-2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7">
        <v>3883.56</v>
      </c>
      <c r="E62" s="2"/>
      <c r="F62" s="6">
        <f t="shared" si="32"/>
        <v>0</v>
      </c>
      <c r="G62" s="2"/>
      <c r="H62" s="7">
        <v>4270</v>
      </c>
      <c r="I62" s="2"/>
      <c r="J62" s="6">
        <f t="shared" si="33"/>
        <v>0</v>
      </c>
      <c r="K62" s="2"/>
      <c r="L62" s="7">
        <f t="shared" si="34"/>
        <v>-386.44000000000005</v>
      </c>
      <c r="M62" s="2"/>
      <c r="N62" s="6">
        <f t="shared" si="35"/>
        <v>-9.0501170960187366E-2</v>
      </c>
      <c r="O62" s="11"/>
      <c r="P62" s="7">
        <v>34952.04</v>
      </c>
      <c r="Q62" s="2"/>
      <c r="R62" s="6">
        <f t="shared" si="36"/>
        <v>0</v>
      </c>
      <c r="S62" s="2"/>
      <c r="T62" s="7">
        <v>38430</v>
      </c>
      <c r="U62" s="2"/>
      <c r="V62" s="6">
        <f t="shared" si="37"/>
        <v>0</v>
      </c>
      <c r="W62" s="2"/>
      <c r="X62" s="7">
        <f t="shared" si="38"/>
        <v>-3477.9599999999991</v>
      </c>
      <c r="Y62" s="2"/>
      <c r="Z62" s="6">
        <f t="shared" si="39"/>
        <v>-9.0501170960187324E-2</v>
      </c>
    </row>
    <row r="63" spans="1:26" s="25" customFormat="1" outlineLevel="1" collapsed="1" x14ac:dyDescent="0.25">
      <c r="A63" s="27"/>
      <c r="B63" s="13" t="str">
        <f>CONCATENATE("     ","Inventory Adjustment                              ")</f>
        <v xml:space="preserve">     Inventory Adjustment                              </v>
      </c>
      <c r="C63" s="13"/>
      <c r="D63" s="1">
        <f>SUM(OSRRefD22_12x_0)</f>
        <v>0</v>
      </c>
      <c r="E63" s="1"/>
      <c r="F63" s="5">
        <f t="shared" si="32"/>
        <v>0</v>
      </c>
      <c r="G63" s="1"/>
      <c r="H63" s="1">
        <f>SUM(OSRRefH22_12x_0)</f>
        <v>1000</v>
      </c>
      <c r="I63" s="1"/>
      <c r="J63" s="5">
        <f t="shared" si="33"/>
        <v>0</v>
      </c>
      <c r="K63" s="1"/>
      <c r="L63" s="1">
        <f t="shared" si="34"/>
        <v>-1000</v>
      </c>
      <c r="M63" s="1"/>
      <c r="N63" s="5">
        <f t="shared" si="35"/>
        <v>-1</v>
      </c>
      <c r="O63" s="13"/>
      <c r="P63" s="1">
        <f>SUM(OSRRefP22_12x_0)</f>
        <v>0</v>
      </c>
      <c r="Q63" s="1"/>
      <c r="R63" s="5">
        <f t="shared" si="36"/>
        <v>0</v>
      </c>
      <c r="S63" s="1"/>
      <c r="T63" s="1">
        <f>SUM(OSRRefT22_12x_0)</f>
        <v>9000</v>
      </c>
      <c r="U63" s="1"/>
      <c r="V63" s="5">
        <f t="shared" si="37"/>
        <v>0</v>
      </c>
      <c r="W63" s="1"/>
      <c r="X63" s="1">
        <f t="shared" si="38"/>
        <v>-9000</v>
      </c>
      <c r="Y63" s="1"/>
      <c r="Z63" s="5">
        <f t="shared" si="39"/>
        <v>-1</v>
      </c>
    </row>
    <row r="64" spans="1:26" s="24" customFormat="1" hidden="1" outlineLevel="2" x14ac:dyDescent="0.25">
      <c r="A64" s="26"/>
      <c r="B64" s="11" t="str">
        <f>CONCATENATE("          ", "6408", " - ", "INVENTORY ADJUSTMENT")</f>
        <v xml:space="preserve">          6408 - INVENTORY ADJUSTMENT</v>
      </c>
      <c r="C64" s="11"/>
      <c r="D64" s="7"/>
      <c r="E64" s="2"/>
      <c r="F64" s="6">
        <f t="shared" si="32"/>
        <v>0</v>
      </c>
      <c r="G64" s="2"/>
      <c r="H64" s="7">
        <v>1000</v>
      </c>
      <c r="I64" s="2"/>
      <c r="J64" s="6">
        <f t="shared" si="33"/>
        <v>0</v>
      </c>
      <c r="K64" s="2"/>
      <c r="L64" s="7">
        <f t="shared" si="34"/>
        <v>-1000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9000</v>
      </c>
      <c r="U64" s="2"/>
      <c r="V64" s="6">
        <f t="shared" si="37"/>
        <v>0</v>
      </c>
      <c r="W64" s="2"/>
      <c r="X64" s="7">
        <f t="shared" si="38"/>
        <v>-9000</v>
      </c>
      <c r="Y64" s="2"/>
      <c r="Z64" s="6">
        <f t="shared" si="39"/>
        <v>-1</v>
      </c>
    </row>
    <row r="65" spans="1:26" s="25" customFormat="1" outlineLevel="1" collapsed="1" x14ac:dyDescent="0.25">
      <c r="A65" s="27"/>
      <c r="B65" s="13" t="str">
        <f>CONCATENATE("     ","Rent                                              ")</f>
        <v xml:space="preserve">     Rent                                              </v>
      </c>
      <c r="C65" s="13"/>
      <c r="D65" s="1">
        <f>SUM(OSRRefD22_13x_0)</f>
        <v>-800</v>
      </c>
      <c r="E65" s="1"/>
      <c r="F65" s="5">
        <f t="shared" si="32"/>
        <v>0</v>
      </c>
      <c r="G65" s="1"/>
      <c r="H65" s="1">
        <f>SUM(OSRRefH22_13x_0)</f>
        <v>-800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3"/>
      <c r="P65" s="1">
        <f>SUM(OSRRefP22_13x_0)</f>
        <v>-7200</v>
      </c>
      <c r="Q65" s="1"/>
      <c r="R65" s="5">
        <f t="shared" si="36"/>
        <v>0</v>
      </c>
      <c r="S65" s="1"/>
      <c r="T65" s="1">
        <f>SUM(OSRRefT22_13x_0)</f>
        <v>-7200</v>
      </c>
      <c r="U65" s="1"/>
      <c r="V65" s="5">
        <f t="shared" si="37"/>
        <v>0</v>
      </c>
      <c r="W65" s="1"/>
      <c r="X65" s="1">
        <f t="shared" si="38"/>
        <v>0</v>
      </c>
      <c r="Y65" s="1"/>
      <c r="Z65" s="5">
        <f t="shared" si="39"/>
        <v>0</v>
      </c>
    </row>
    <row r="66" spans="1:26" s="24" customFormat="1" hidden="1" outlineLevel="2" x14ac:dyDescent="0.25">
      <c r="A66" s="26"/>
      <c r="B66" s="11" t="str">
        <f>CONCATENATE("          ", "6273", " - ", "RENT")</f>
        <v xml:space="preserve">          6273 - RENT</v>
      </c>
      <c r="C66" s="11"/>
      <c r="D66" s="7">
        <v>-800</v>
      </c>
      <c r="E66" s="2"/>
      <c r="F66" s="6">
        <f t="shared" si="32"/>
        <v>0</v>
      </c>
      <c r="G66" s="2"/>
      <c r="H66" s="7">
        <v>-800</v>
      </c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-7200</v>
      </c>
      <c r="Q66" s="2"/>
      <c r="R66" s="6">
        <f t="shared" si="36"/>
        <v>0</v>
      </c>
      <c r="S66" s="2"/>
      <c r="T66" s="7">
        <v>-7200</v>
      </c>
      <c r="U66" s="2"/>
      <c r="V66" s="6">
        <f t="shared" si="37"/>
        <v>0</v>
      </c>
      <c r="W66" s="2"/>
      <c r="X66" s="7">
        <f t="shared" si="38"/>
        <v>0</v>
      </c>
      <c r="Y66" s="2"/>
      <c r="Z66" s="6">
        <f t="shared" si="39"/>
        <v>0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SUM(OSRRefD22_14x_0)</f>
        <v>1088.31</v>
      </c>
      <c r="E67" s="1"/>
      <c r="F67" s="5">
        <f t="shared" si="32"/>
        <v>0</v>
      </c>
      <c r="G67" s="1"/>
      <c r="H67" s="1">
        <f>SUM(OSRRefH22_14x_0)</f>
        <v>9000</v>
      </c>
      <c r="I67" s="1"/>
      <c r="J67" s="5">
        <f t="shared" si="33"/>
        <v>0</v>
      </c>
      <c r="K67" s="1"/>
      <c r="L67" s="1">
        <f t="shared" si="34"/>
        <v>-7911.6900000000005</v>
      </c>
      <c r="M67" s="1"/>
      <c r="N67" s="5">
        <f t="shared" si="35"/>
        <v>-0.87907666666666673</v>
      </c>
      <c r="O67" s="13"/>
      <c r="P67" s="1">
        <f>SUM(OSRRefP22_14x_0)</f>
        <v>98659.56</v>
      </c>
      <c r="Q67" s="1"/>
      <c r="R67" s="5">
        <f t="shared" si="36"/>
        <v>0</v>
      </c>
      <c r="S67" s="1"/>
      <c r="T67" s="1">
        <f>SUM(OSRRefT22_14x_0)</f>
        <v>126000</v>
      </c>
      <c r="U67" s="1"/>
      <c r="V67" s="5">
        <f t="shared" si="37"/>
        <v>0</v>
      </c>
      <c r="W67" s="1"/>
      <c r="X67" s="1">
        <f t="shared" si="38"/>
        <v>-27340.440000000002</v>
      </c>
      <c r="Y67" s="1"/>
      <c r="Z67" s="5">
        <f t="shared" si="39"/>
        <v>-0.21698761904761907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0</v>
      </c>
      <c r="M68" s="2"/>
      <c r="N68" s="6">
        <f t="shared" si="35"/>
        <v>0</v>
      </c>
      <c r="O68" s="11"/>
      <c r="P68" s="7">
        <v>59760.03</v>
      </c>
      <c r="Q68" s="2"/>
      <c r="R68" s="6">
        <f t="shared" si="36"/>
        <v>0</v>
      </c>
      <c r="S68" s="2"/>
      <c r="T68" s="7">
        <v>45000</v>
      </c>
      <c r="U68" s="2"/>
      <c r="V68" s="6">
        <f t="shared" si="37"/>
        <v>0</v>
      </c>
      <c r="W68" s="2"/>
      <c r="X68" s="7">
        <f t="shared" si="38"/>
        <v>14760.029999999999</v>
      </c>
      <c r="Y68" s="2"/>
      <c r="Z68" s="6">
        <f t="shared" si="39"/>
        <v>0.32800066666666666</v>
      </c>
    </row>
    <row r="69" spans="1:26" s="24" customFormat="1" hidden="1" outlineLevel="2" x14ac:dyDescent="0.25">
      <c r="A69" s="26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32"/>
        <v>0</v>
      </c>
      <c r="G69" s="2"/>
      <c r="H69" s="7"/>
      <c r="I69" s="2"/>
      <c r="J69" s="6">
        <f t="shared" si="33"/>
        <v>0</v>
      </c>
      <c r="K69" s="2"/>
      <c r="L69" s="7">
        <f t="shared" si="34"/>
        <v>0</v>
      </c>
      <c r="M69" s="2"/>
      <c r="N69" s="6">
        <f t="shared" si="35"/>
        <v>0</v>
      </c>
      <c r="O69" s="11"/>
      <c r="P69" s="7">
        <v>-0.63</v>
      </c>
      <c r="Q69" s="2"/>
      <c r="R69" s="6">
        <f t="shared" si="36"/>
        <v>0</v>
      </c>
      <c r="S69" s="2"/>
      <c r="T69" s="7"/>
      <c r="U69" s="2"/>
      <c r="V69" s="6">
        <f t="shared" si="37"/>
        <v>0</v>
      </c>
      <c r="W69" s="2"/>
      <c r="X69" s="7">
        <f t="shared" si="38"/>
        <v>-0.63</v>
      </c>
      <c r="Y69" s="2"/>
      <c r="Z69" s="6">
        <f t="shared" si="39"/>
        <v>0</v>
      </c>
    </row>
    <row r="70" spans="1:26" s="24" customFormat="1" hidden="1" outlineLevel="2" x14ac:dyDescent="0.25">
      <c r="A70" s="26"/>
      <c r="B70" s="11" t="str">
        <f>CONCATENATE("          ", "6373", " - ", "MAINTENANCE CONTRACTS")</f>
        <v xml:space="preserve">          6373 - MAINTENANCE CONTRACTS</v>
      </c>
      <c r="C70" s="11"/>
      <c r="D70" s="7">
        <v>1043.31</v>
      </c>
      <c r="E70" s="2"/>
      <c r="F70" s="6">
        <f t="shared" si="32"/>
        <v>0</v>
      </c>
      <c r="G70" s="2"/>
      <c r="H70" s="7">
        <v>1000</v>
      </c>
      <c r="I70" s="2"/>
      <c r="J70" s="6">
        <f t="shared" si="33"/>
        <v>0</v>
      </c>
      <c r="K70" s="2"/>
      <c r="L70" s="7">
        <f t="shared" si="34"/>
        <v>43.309999999999945</v>
      </c>
      <c r="M70" s="2"/>
      <c r="N70" s="6">
        <f t="shared" si="35"/>
        <v>4.3309999999999946E-2</v>
      </c>
      <c r="O70" s="11"/>
      <c r="P70" s="7">
        <v>13117.12</v>
      </c>
      <c r="Q70" s="2"/>
      <c r="R70" s="6">
        <f t="shared" si="36"/>
        <v>0</v>
      </c>
      <c r="S70" s="2"/>
      <c r="T70" s="7">
        <v>9000</v>
      </c>
      <c r="U70" s="2"/>
      <c r="V70" s="6">
        <f t="shared" si="37"/>
        <v>0</v>
      </c>
      <c r="W70" s="2"/>
      <c r="X70" s="7">
        <f t="shared" si="38"/>
        <v>4117.1200000000008</v>
      </c>
      <c r="Y70" s="2"/>
      <c r="Z70" s="6">
        <f t="shared" si="39"/>
        <v>0.45745777777777785</v>
      </c>
    </row>
    <row r="71" spans="1:26" s="24" customFormat="1" hidden="1" outlineLevel="2" x14ac:dyDescent="0.25">
      <c r="A71" s="26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45</v>
      </c>
      <c r="E71" s="2"/>
      <c r="F71" s="6">
        <f t="shared" si="32"/>
        <v>0</v>
      </c>
      <c r="G71" s="2"/>
      <c r="H71" s="7">
        <v>8000</v>
      </c>
      <c r="I71" s="2"/>
      <c r="J71" s="6">
        <f t="shared" si="33"/>
        <v>0</v>
      </c>
      <c r="K71" s="2"/>
      <c r="L71" s="7">
        <f t="shared" si="34"/>
        <v>-7955</v>
      </c>
      <c r="M71" s="2"/>
      <c r="N71" s="6">
        <f t="shared" si="35"/>
        <v>-0.99437500000000001</v>
      </c>
      <c r="O71" s="11"/>
      <c r="P71" s="7">
        <v>25783.040000000001</v>
      </c>
      <c r="Q71" s="2"/>
      <c r="R71" s="6">
        <f t="shared" si="36"/>
        <v>0</v>
      </c>
      <c r="S71" s="2"/>
      <c r="T71" s="7">
        <v>72000</v>
      </c>
      <c r="U71" s="2"/>
      <c r="V71" s="6">
        <f t="shared" si="37"/>
        <v>0</v>
      </c>
      <c r="W71" s="2"/>
      <c r="X71" s="7">
        <f t="shared" si="38"/>
        <v>-46216.959999999999</v>
      </c>
      <c r="Y71" s="2"/>
      <c r="Z71" s="6">
        <f t="shared" si="39"/>
        <v>-0.64190222222222226</v>
      </c>
    </row>
    <row r="72" spans="1:26" s="25" customFormat="1" outlineLevel="1" collapsed="1" x14ac:dyDescent="0.25">
      <c r="A72" s="27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SUM(OSRRefD22_15x_0)</f>
        <v>7224.93</v>
      </c>
      <c r="E72" s="1"/>
      <c r="F72" s="5">
        <f t="shared" ref="F72:F75" si="40">IF(D$12=0,0,D72/D$12)</f>
        <v>0</v>
      </c>
      <c r="G72" s="1"/>
      <c r="H72" s="1">
        <f>SUM(OSRRefH22_15x_0)</f>
        <v>4300</v>
      </c>
      <c r="I72" s="1"/>
      <c r="J72" s="5">
        <f t="shared" ref="J72:J75" si="41">IF(H$12=0,0,H72/H$12)</f>
        <v>0</v>
      </c>
      <c r="K72" s="1"/>
      <c r="L72" s="1">
        <f t="shared" ref="L72:L75" si="42">+D72-H72</f>
        <v>2924.9300000000003</v>
      </c>
      <c r="M72" s="1"/>
      <c r="N72" s="5">
        <f t="shared" ref="N72:N75" si="43">IF(H72=0,0,L72/H72)</f>
        <v>0.68021627906976756</v>
      </c>
      <c r="O72" s="13"/>
      <c r="P72" s="1">
        <f>SUM(OSRRefP22_15x_0)</f>
        <v>35511.82</v>
      </c>
      <c r="Q72" s="1"/>
      <c r="R72" s="5">
        <f t="shared" ref="R72:R75" si="44">IF(P$12=0,0,P72/P$12)</f>
        <v>0</v>
      </c>
      <c r="S72" s="1"/>
      <c r="T72" s="1">
        <f>SUM(OSRRefT22_15x_0)</f>
        <v>38700</v>
      </c>
      <c r="U72" s="1"/>
      <c r="V72" s="5">
        <f t="shared" ref="V72:V75" si="45">IF(T$12=0,0,T72/T$12)</f>
        <v>0</v>
      </c>
      <c r="W72" s="1"/>
      <c r="X72" s="1">
        <f t="shared" ref="X72:X75" si="46">+P72-T72</f>
        <v>-3188.1800000000003</v>
      </c>
      <c r="Y72" s="1"/>
      <c r="Z72" s="5">
        <f t="shared" ref="Z72:Z75" si="47">IF(T72=0,0,X72/T72)</f>
        <v>-8.2381912144702849E-2</v>
      </c>
    </row>
    <row r="73" spans="1:26" s="24" customFormat="1" hidden="1" outlineLevel="2" x14ac:dyDescent="0.25">
      <c r="A73" s="26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453</v>
      </c>
      <c r="E73" s="2"/>
      <c r="F73" s="6">
        <f t="shared" si="40"/>
        <v>0</v>
      </c>
      <c r="G73" s="2"/>
      <c r="H73" s="7">
        <v>4000</v>
      </c>
      <c r="I73" s="2"/>
      <c r="J73" s="6">
        <f t="shared" si="41"/>
        <v>0</v>
      </c>
      <c r="K73" s="2"/>
      <c r="L73" s="7">
        <f t="shared" si="42"/>
        <v>-3547</v>
      </c>
      <c r="M73" s="2"/>
      <c r="N73" s="6">
        <f t="shared" si="43"/>
        <v>-0.88675000000000004</v>
      </c>
      <c r="O73" s="11"/>
      <c r="P73" s="7">
        <v>7230.12</v>
      </c>
      <c r="Q73" s="2"/>
      <c r="R73" s="6">
        <f t="shared" si="44"/>
        <v>0</v>
      </c>
      <c r="S73" s="2"/>
      <c r="T73" s="7">
        <v>36000</v>
      </c>
      <c r="U73" s="2"/>
      <c r="V73" s="6">
        <f t="shared" si="45"/>
        <v>0</v>
      </c>
      <c r="W73" s="2"/>
      <c r="X73" s="7">
        <f t="shared" si="46"/>
        <v>-28769.88</v>
      </c>
      <c r="Y73" s="2"/>
      <c r="Z73" s="6">
        <f t="shared" si="47"/>
        <v>-0.79916333333333334</v>
      </c>
    </row>
    <row r="74" spans="1:26" s="24" customFormat="1" hidden="1" outlineLevel="2" x14ac:dyDescent="0.25">
      <c r="A74" s="26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0</v>
      </c>
      <c r="M74" s="2"/>
      <c r="N74" s="6">
        <f t="shared" si="43"/>
        <v>0</v>
      </c>
      <c r="O74" s="11"/>
      <c r="P74" s="7">
        <v>130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130</v>
      </c>
      <c r="Y74" s="2"/>
      <c r="Z74" s="6">
        <f t="shared" si="47"/>
        <v>0</v>
      </c>
    </row>
    <row r="75" spans="1:26" s="24" customFormat="1" hidden="1" outlineLevel="2" x14ac:dyDescent="0.25">
      <c r="A75" s="26"/>
      <c r="B75" s="11" t="str">
        <f>CONCATENATE("          ", "6285", " - ", "JANITORIAL SERVICES")</f>
        <v xml:space="preserve">          6285 - JANITORIAL SERVICES</v>
      </c>
      <c r="C75" s="11"/>
      <c r="D75" s="7">
        <v>6771.93</v>
      </c>
      <c r="E75" s="2"/>
      <c r="F75" s="6">
        <f t="shared" si="40"/>
        <v>0</v>
      </c>
      <c r="G75" s="2"/>
      <c r="H75" s="7">
        <v>300</v>
      </c>
      <c r="I75" s="2"/>
      <c r="J75" s="6">
        <f t="shared" si="41"/>
        <v>0</v>
      </c>
      <c r="K75" s="2"/>
      <c r="L75" s="7">
        <f t="shared" si="42"/>
        <v>6471.93</v>
      </c>
      <c r="M75" s="2"/>
      <c r="N75" s="6">
        <f t="shared" si="43"/>
        <v>21.5731</v>
      </c>
      <c r="O75" s="11"/>
      <c r="P75" s="7">
        <v>28151.7</v>
      </c>
      <c r="Q75" s="2"/>
      <c r="R75" s="6">
        <f t="shared" si="44"/>
        <v>0</v>
      </c>
      <c r="S75" s="2"/>
      <c r="T75" s="7">
        <v>2700</v>
      </c>
      <c r="U75" s="2"/>
      <c r="V75" s="6">
        <f t="shared" si="45"/>
        <v>0</v>
      </c>
      <c r="W75" s="2"/>
      <c r="X75" s="7">
        <f t="shared" si="46"/>
        <v>25451.7</v>
      </c>
      <c r="Y75" s="2"/>
      <c r="Z75" s="6">
        <f t="shared" si="47"/>
        <v>9.4265555555555558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SUM(OSRRefD22_16x_0)</f>
        <v>0</v>
      </c>
      <c r="E76" s="1"/>
      <c r="F76" s="5">
        <f t="shared" ref="F76:F85" si="48">IF(D$12=0,0,D76/D$12)</f>
        <v>0</v>
      </c>
      <c r="G76" s="1"/>
      <c r="H76" s="1">
        <f>SUM(OSRRefH22_16x_0)</f>
        <v>800</v>
      </c>
      <c r="I76" s="1"/>
      <c r="J76" s="5">
        <f t="shared" ref="J76:J85" si="49">IF(H$12=0,0,H76/H$12)</f>
        <v>0</v>
      </c>
      <c r="K76" s="1"/>
      <c r="L76" s="1">
        <f t="shared" ref="L76:L85" si="50">+D76-H76</f>
        <v>-800</v>
      </c>
      <c r="M76" s="1"/>
      <c r="N76" s="5">
        <f t="shared" ref="N76:N85" si="51">IF(H76=0,0,L76/H76)</f>
        <v>-1</v>
      </c>
      <c r="O76" s="13"/>
      <c r="P76" s="1">
        <f>SUM(OSRRefP22_16x_0)</f>
        <v>0</v>
      </c>
      <c r="Q76" s="1"/>
      <c r="R76" s="5">
        <f t="shared" ref="R76:R85" si="52">IF(P$12=0,0,P76/P$12)</f>
        <v>0</v>
      </c>
      <c r="S76" s="1"/>
      <c r="T76" s="1">
        <f>SUM(OSRRefT22_16x_0)</f>
        <v>7200</v>
      </c>
      <c r="U76" s="1"/>
      <c r="V76" s="5">
        <f t="shared" ref="V76:V85" si="53">IF(T$12=0,0,T76/T$12)</f>
        <v>0</v>
      </c>
      <c r="W76" s="1"/>
      <c r="X76" s="1">
        <f t="shared" ref="X76:X85" si="54">+P76-T76</f>
        <v>-7200</v>
      </c>
      <c r="Y76" s="1"/>
      <c r="Z76" s="5">
        <f t="shared" ref="Z76:Z85" si="55">IF(T76=0,0,X76/T76)</f>
        <v>-1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800</v>
      </c>
      <c r="I77" s="2"/>
      <c r="J77" s="6">
        <f t="shared" si="49"/>
        <v>0</v>
      </c>
      <c r="K77" s="2"/>
      <c r="L77" s="7">
        <f t="shared" si="50"/>
        <v>-800</v>
      </c>
      <c r="M77" s="2"/>
      <c r="N77" s="6">
        <f t="shared" si="51"/>
        <v>-1</v>
      </c>
      <c r="O77" s="11"/>
      <c r="P77" s="7"/>
      <c r="Q77" s="2"/>
      <c r="R77" s="6">
        <f t="shared" si="52"/>
        <v>0</v>
      </c>
      <c r="S77" s="2"/>
      <c r="T77" s="7">
        <v>7200</v>
      </c>
      <c r="U77" s="2"/>
      <c r="V77" s="6">
        <f t="shared" si="53"/>
        <v>0</v>
      </c>
      <c r="W77" s="2"/>
      <c r="X77" s="7">
        <f t="shared" si="54"/>
        <v>-7200</v>
      </c>
      <c r="Y77" s="2"/>
      <c r="Z77" s="6">
        <f t="shared" si="55"/>
        <v>-1</v>
      </c>
    </row>
    <row r="78" spans="1:26" s="25" customFormat="1" outlineLevel="1" collapsed="1" x14ac:dyDescent="0.25">
      <c r="A78" s="27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SUM(OSRRefD22_17x_0)</f>
        <v>1071.1300000000001</v>
      </c>
      <c r="E78" s="1"/>
      <c r="F78" s="5">
        <f t="shared" si="48"/>
        <v>0</v>
      </c>
      <c r="G78" s="1"/>
      <c r="H78" s="1">
        <f>SUM(OSRRefH22_17x_0)</f>
        <v>3900</v>
      </c>
      <c r="I78" s="1"/>
      <c r="J78" s="5">
        <f t="shared" si="49"/>
        <v>0</v>
      </c>
      <c r="K78" s="1"/>
      <c r="L78" s="1">
        <f t="shared" si="50"/>
        <v>-2828.87</v>
      </c>
      <c r="M78" s="1"/>
      <c r="N78" s="5">
        <f t="shared" si="51"/>
        <v>-0.72535128205128208</v>
      </c>
      <c r="O78" s="13"/>
      <c r="P78" s="1">
        <f>SUM(OSRRefP22_17x_0)</f>
        <v>59399.05000000001</v>
      </c>
      <c r="Q78" s="1"/>
      <c r="R78" s="5">
        <f t="shared" si="52"/>
        <v>0</v>
      </c>
      <c r="S78" s="1"/>
      <c r="T78" s="1">
        <f>SUM(OSRRefT22_17x_0)</f>
        <v>94900</v>
      </c>
      <c r="U78" s="1"/>
      <c r="V78" s="5">
        <f t="shared" si="53"/>
        <v>0</v>
      </c>
      <c r="W78" s="1"/>
      <c r="X78" s="1">
        <f t="shared" si="54"/>
        <v>-35500.94999999999</v>
      </c>
      <c r="Y78" s="1"/>
      <c r="Z78" s="5">
        <f t="shared" si="55"/>
        <v>-0.37408798735511056</v>
      </c>
    </row>
    <row r="79" spans="1:26" s="24" customFormat="1" hidden="1" outlineLevel="2" x14ac:dyDescent="0.25">
      <c r="A79" s="26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100</v>
      </c>
      <c r="I79" s="2"/>
      <c r="J79" s="6">
        <f t="shared" si="49"/>
        <v>0</v>
      </c>
      <c r="K79" s="2"/>
      <c r="L79" s="7">
        <f t="shared" si="50"/>
        <v>-100</v>
      </c>
      <c r="M79" s="2"/>
      <c r="N79" s="6">
        <f t="shared" si="51"/>
        <v>-1</v>
      </c>
      <c r="O79" s="11"/>
      <c r="P79" s="7">
        <v>-449.34</v>
      </c>
      <c r="Q79" s="2"/>
      <c r="R79" s="6">
        <f t="shared" si="52"/>
        <v>0</v>
      </c>
      <c r="S79" s="2"/>
      <c r="T79" s="7">
        <v>900</v>
      </c>
      <c r="U79" s="2"/>
      <c r="V79" s="6">
        <f t="shared" si="53"/>
        <v>0</v>
      </c>
      <c r="W79" s="2"/>
      <c r="X79" s="7">
        <f t="shared" si="54"/>
        <v>-1349.34</v>
      </c>
      <c r="Y79" s="2"/>
      <c r="Z79" s="6">
        <f t="shared" si="55"/>
        <v>-1.4992666666666665</v>
      </c>
    </row>
    <row r="80" spans="1:26" s="24" customFormat="1" hidden="1" outlineLevel="2" x14ac:dyDescent="0.25">
      <c r="A80" s="26"/>
      <c r="B80" s="11" t="str">
        <f>CONCATENATE("          ", "6235", " - ", "COVID-19 EXPENSES")</f>
        <v xml:space="preserve">          6235 - COVID-19 EXPENSES</v>
      </c>
      <c r="C80" s="11"/>
      <c r="D80" s="7">
        <v>370.83</v>
      </c>
      <c r="E80" s="2"/>
      <c r="F80" s="6">
        <f t="shared" si="48"/>
        <v>0</v>
      </c>
      <c r="G80" s="2"/>
      <c r="H80" s="7">
        <v>100</v>
      </c>
      <c r="I80" s="2"/>
      <c r="J80" s="6">
        <f t="shared" si="49"/>
        <v>0</v>
      </c>
      <c r="K80" s="2"/>
      <c r="L80" s="7">
        <f t="shared" si="50"/>
        <v>270.83</v>
      </c>
      <c r="M80" s="2"/>
      <c r="N80" s="6">
        <f t="shared" si="51"/>
        <v>2.7082999999999999</v>
      </c>
      <c r="O80" s="11"/>
      <c r="P80" s="7">
        <v>35614.660000000003</v>
      </c>
      <c r="Q80" s="2"/>
      <c r="R80" s="6">
        <f t="shared" si="52"/>
        <v>0</v>
      </c>
      <c r="S80" s="2"/>
      <c r="T80" s="7">
        <v>60700</v>
      </c>
      <c r="U80" s="2"/>
      <c r="V80" s="6">
        <f t="shared" si="53"/>
        <v>0</v>
      </c>
      <c r="W80" s="2"/>
      <c r="X80" s="7">
        <f t="shared" si="54"/>
        <v>-25085.339999999997</v>
      </c>
      <c r="Y80" s="2"/>
      <c r="Z80" s="6">
        <f t="shared" si="55"/>
        <v>-0.41326754530477755</v>
      </c>
    </row>
    <row r="81" spans="1:26" s="24" customFormat="1" hidden="1" outlineLevel="2" x14ac:dyDescent="0.25">
      <c r="A81" s="26"/>
      <c r="B81" s="11" t="str">
        <f>CONCATENATE("          ", "6237", " - ", "JANITORIAL SUPPLIES")</f>
        <v xml:space="preserve">          6237 - JANITORIAL SUPPLIES</v>
      </c>
      <c r="C81" s="11"/>
      <c r="D81" s="7">
        <v>637.59</v>
      </c>
      <c r="E81" s="2"/>
      <c r="F81" s="6">
        <f t="shared" si="48"/>
        <v>0</v>
      </c>
      <c r="G81" s="2"/>
      <c r="H81" s="7">
        <v>200</v>
      </c>
      <c r="I81" s="2"/>
      <c r="J81" s="6">
        <f t="shared" si="49"/>
        <v>0</v>
      </c>
      <c r="K81" s="2"/>
      <c r="L81" s="7">
        <f t="shared" si="50"/>
        <v>437.59000000000003</v>
      </c>
      <c r="M81" s="2"/>
      <c r="N81" s="6">
        <f t="shared" si="51"/>
        <v>2.1879500000000003</v>
      </c>
      <c r="O81" s="11"/>
      <c r="P81" s="7">
        <v>2709.5</v>
      </c>
      <c r="Q81" s="2"/>
      <c r="R81" s="6">
        <f t="shared" si="52"/>
        <v>0</v>
      </c>
      <c r="S81" s="2"/>
      <c r="T81" s="7">
        <v>1800</v>
      </c>
      <c r="U81" s="2"/>
      <c r="V81" s="6">
        <f t="shared" si="53"/>
        <v>0</v>
      </c>
      <c r="W81" s="2"/>
      <c r="X81" s="7">
        <f t="shared" si="54"/>
        <v>909.5</v>
      </c>
      <c r="Y81" s="2"/>
      <c r="Z81" s="6">
        <f t="shared" si="55"/>
        <v>0.50527777777777783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>
        <v>22.91</v>
      </c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22.91</v>
      </c>
      <c r="M82" s="2"/>
      <c r="N82" s="6">
        <f t="shared" si="51"/>
        <v>0</v>
      </c>
      <c r="O82" s="11"/>
      <c r="P82" s="7">
        <v>2862.89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2862.89</v>
      </c>
      <c r="Y82" s="2"/>
      <c r="Z82" s="6">
        <f t="shared" si="55"/>
        <v>0</v>
      </c>
    </row>
    <row r="83" spans="1:26" s="24" customFormat="1" hidden="1" outlineLevel="2" x14ac:dyDescent="0.25">
      <c r="A83" s="26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68.66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68.66</v>
      </c>
      <c r="Y83" s="2"/>
      <c r="Z83" s="6">
        <f t="shared" si="55"/>
        <v>0</v>
      </c>
    </row>
    <row r="84" spans="1:26" s="24" customFormat="1" hidden="1" outlineLevel="2" x14ac:dyDescent="0.25">
      <c r="A84" s="26"/>
      <c r="B84" s="11" t="str">
        <f>CONCATENATE("          ", "6247", " - ", "STORE SUPPLIES")</f>
        <v xml:space="preserve">          6247 - STORE SUPPLIES</v>
      </c>
      <c r="C84" s="11"/>
      <c r="D84" s="7">
        <v>39.799999999999997</v>
      </c>
      <c r="E84" s="2"/>
      <c r="F84" s="6">
        <f t="shared" si="48"/>
        <v>0</v>
      </c>
      <c r="G84" s="2"/>
      <c r="H84" s="7">
        <v>2000</v>
      </c>
      <c r="I84" s="2"/>
      <c r="J84" s="6">
        <f t="shared" si="49"/>
        <v>0</v>
      </c>
      <c r="K84" s="2"/>
      <c r="L84" s="7">
        <f t="shared" si="50"/>
        <v>-1960.2</v>
      </c>
      <c r="M84" s="2"/>
      <c r="N84" s="6">
        <f t="shared" si="51"/>
        <v>-0.98009999999999997</v>
      </c>
      <c r="O84" s="11"/>
      <c r="P84" s="7">
        <v>18592.68</v>
      </c>
      <c r="Q84" s="2"/>
      <c r="R84" s="6">
        <f t="shared" si="52"/>
        <v>0</v>
      </c>
      <c r="S84" s="2"/>
      <c r="T84" s="7">
        <v>18000</v>
      </c>
      <c r="U84" s="2"/>
      <c r="V84" s="6">
        <f t="shared" si="53"/>
        <v>0</v>
      </c>
      <c r="W84" s="2"/>
      <c r="X84" s="7">
        <f t="shared" si="54"/>
        <v>592.68000000000029</v>
      </c>
      <c r="Y84" s="2"/>
      <c r="Z84" s="6">
        <f t="shared" si="55"/>
        <v>3.292666666666668E-2</v>
      </c>
    </row>
    <row r="85" spans="1:26" s="24" customFormat="1" hidden="1" outlineLevel="2" x14ac:dyDescent="0.25">
      <c r="A85" s="26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48"/>
        <v>0</v>
      </c>
      <c r="G85" s="2"/>
      <c r="H85" s="7">
        <v>1500</v>
      </c>
      <c r="I85" s="2"/>
      <c r="J85" s="6">
        <f t="shared" si="49"/>
        <v>0</v>
      </c>
      <c r="K85" s="2"/>
      <c r="L85" s="7">
        <f t="shared" si="50"/>
        <v>-1500</v>
      </c>
      <c r="M85" s="2"/>
      <c r="N85" s="6">
        <f t="shared" si="51"/>
        <v>-1</v>
      </c>
      <c r="O85" s="11"/>
      <c r="P85" s="7"/>
      <c r="Q85" s="2"/>
      <c r="R85" s="6">
        <f t="shared" si="52"/>
        <v>0</v>
      </c>
      <c r="S85" s="2"/>
      <c r="T85" s="7">
        <v>13500</v>
      </c>
      <c r="U85" s="2"/>
      <c r="V85" s="6">
        <f t="shared" si="53"/>
        <v>0</v>
      </c>
      <c r="W85" s="2"/>
      <c r="X85" s="7">
        <f t="shared" si="54"/>
        <v>-13500</v>
      </c>
      <c r="Y85" s="2"/>
      <c r="Z85" s="6">
        <f t="shared" si="55"/>
        <v>-1</v>
      </c>
    </row>
    <row r="86" spans="1:26" s="25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SUM(OSRRefD22_18x_0)</f>
        <v>559.66999999999996</v>
      </c>
      <c r="E86" s="1"/>
      <c r="F86" s="5">
        <f t="shared" ref="F86:F92" si="56">IF(D$12=0,0,D86/D$12)</f>
        <v>0</v>
      </c>
      <c r="G86" s="1"/>
      <c r="H86" s="1">
        <f>SUM(OSRRefH22_18x_0)</f>
        <v>600</v>
      </c>
      <c r="I86" s="1"/>
      <c r="J86" s="5">
        <f t="shared" ref="J86:J92" si="57">IF(H$12=0,0,H86/H$12)</f>
        <v>0</v>
      </c>
      <c r="K86" s="1"/>
      <c r="L86" s="1">
        <f t="shared" ref="L86:L92" si="58">+D86-H86</f>
        <v>-40.330000000000041</v>
      </c>
      <c r="M86" s="1"/>
      <c r="N86" s="5">
        <f t="shared" ref="N86:N92" si="59">IF(H86=0,0,L86/H86)</f>
        <v>-6.721666666666673E-2</v>
      </c>
      <c r="O86" s="13"/>
      <c r="P86" s="1">
        <f>SUM(OSRRefP22_18x_0)</f>
        <v>5229.54</v>
      </c>
      <c r="Q86" s="1"/>
      <c r="R86" s="5">
        <f t="shared" ref="R86:R92" si="60">IF(P$12=0,0,P86/P$12)</f>
        <v>0</v>
      </c>
      <c r="S86" s="1"/>
      <c r="T86" s="1">
        <f>SUM(OSRRefT22_18x_0)</f>
        <v>5400</v>
      </c>
      <c r="U86" s="1"/>
      <c r="V86" s="5">
        <f t="shared" ref="V86:V92" si="61">IF(T$12=0,0,T86/T$12)</f>
        <v>0</v>
      </c>
      <c r="W86" s="1"/>
      <c r="X86" s="1">
        <f t="shared" ref="X86:X92" si="62">+P86-T86</f>
        <v>-170.46000000000004</v>
      </c>
      <c r="Y86" s="1"/>
      <c r="Z86" s="5">
        <f t="shared" ref="Z86:Z92" si="63">IF(T86=0,0,X86/T86)</f>
        <v>-3.1566666666666673E-2</v>
      </c>
    </row>
    <row r="87" spans="1:26" s="24" customFormat="1" hidden="1" outlineLevel="2" x14ac:dyDescent="0.25">
      <c r="A87" s="26"/>
      <c r="B87" s="11" t="str">
        <f>CONCATENATE("          ", "6309", " - ", "TELEPHONE")</f>
        <v xml:space="preserve">          6309 - TELEPHONE</v>
      </c>
      <c r="C87" s="11"/>
      <c r="D87" s="7">
        <v>559.66999999999996</v>
      </c>
      <c r="E87" s="2"/>
      <c r="F87" s="6">
        <f t="shared" si="56"/>
        <v>0</v>
      </c>
      <c r="G87" s="2"/>
      <c r="H87" s="7">
        <v>600</v>
      </c>
      <c r="I87" s="2"/>
      <c r="J87" s="6">
        <f t="shared" si="57"/>
        <v>0</v>
      </c>
      <c r="K87" s="2"/>
      <c r="L87" s="7">
        <f t="shared" si="58"/>
        <v>-40.330000000000041</v>
      </c>
      <c r="M87" s="2"/>
      <c r="N87" s="6">
        <f t="shared" si="59"/>
        <v>-6.721666666666673E-2</v>
      </c>
      <c r="O87" s="11"/>
      <c r="P87" s="7">
        <v>5229.54</v>
      </c>
      <c r="Q87" s="2"/>
      <c r="R87" s="6">
        <f t="shared" si="60"/>
        <v>0</v>
      </c>
      <c r="S87" s="2"/>
      <c r="T87" s="7">
        <v>5400</v>
      </c>
      <c r="U87" s="2"/>
      <c r="V87" s="6">
        <f t="shared" si="61"/>
        <v>0</v>
      </c>
      <c r="W87" s="2"/>
      <c r="X87" s="7">
        <f t="shared" si="62"/>
        <v>-170.46000000000004</v>
      </c>
      <c r="Y87" s="2"/>
      <c r="Z87" s="6">
        <f t="shared" si="63"/>
        <v>-3.1566666666666673E-2</v>
      </c>
    </row>
    <row r="88" spans="1:26" s="25" customFormat="1" outlineLevel="1" collapsed="1" x14ac:dyDescent="0.25">
      <c r="A88" s="27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SUM(OSRRefD22_19x_0)</f>
        <v>0</v>
      </c>
      <c r="E88" s="1"/>
      <c r="F88" s="5">
        <f t="shared" si="56"/>
        <v>0</v>
      </c>
      <c r="G88" s="1"/>
      <c r="H88" s="1">
        <f>SUM(OSRRefH22_19x_0)</f>
        <v>0</v>
      </c>
      <c r="I88" s="1"/>
      <c r="J88" s="5">
        <f t="shared" si="57"/>
        <v>0</v>
      </c>
      <c r="K88" s="1"/>
      <c r="L88" s="1">
        <f t="shared" si="58"/>
        <v>0</v>
      </c>
      <c r="M88" s="1"/>
      <c r="N88" s="5">
        <f t="shared" si="59"/>
        <v>0</v>
      </c>
      <c r="O88" s="13"/>
      <c r="P88" s="1">
        <f>SUM(OSRRefP22_19x_0)</f>
        <v>881.63</v>
      </c>
      <c r="Q88" s="1"/>
      <c r="R88" s="5">
        <f t="shared" si="60"/>
        <v>0</v>
      </c>
      <c r="S88" s="1"/>
      <c r="T88" s="1">
        <f>SUM(OSRRefT22_19x_0)</f>
        <v>3250</v>
      </c>
      <c r="U88" s="1"/>
      <c r="V88" s="5">
        <f t="shared" si="61"/>
        <v>0</v>
      </c>
      <c r="W88" s="1"/>
      <c r="X88" s="1">
        <f t="shared" si="62"/>
        <v>-2368.37</v>
      </c>
      <c r="Y88" s="1"/>
      <c r="Z88" s="5">
        <f t="shared" si="63"/>
        <v>-0.72872923076923068</v>
      </c>
    </row>
    <row r="89" spans="1:26" s="24" customFormat="1" hidden="1" outlineLevel="2" x14ac:dyDescent="0.25">
      <c r="A89" s="26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6"/>
        <v>0</v>
      </c>
      <c r="G89" s="2"/>
      <c r="H89" s="7"/>
      <c r="I89" s="2"/>
      <c r="J89" s="6">
        <f t="shared" si="57"/>
        <v>0</v>
      </c>
      <c r="K89" s="2"/>
      <c r="L89" s="7">
        <f t="shared" si="58"/>
        <v>0</v>
      </c>
      <c r="M89" s="2"/>
      <c r="N89" s="6">
        <f t="shared" si="59"/>
        <v>0</v>
      </c>
      <c r="O89" s="11"/>
      <c r="P89" s="7">
        <v>881.63</v>
      </c>
      <c r="Q89" s="2"/>
      <c r="R89" s="6">
        <f t="shared" si="60"/>
        <v>0</v>
      </c>
      <c r="S89" s="2"/>
      <c r="T89" s="7">
        <v>3250</v>
      </c>
      <c r="U89" s="2"/>
      <c r="V89" s="6">
        <f t="shared" si="61"/>
        <v>0</v>
      </c>
      <c r="W89" s="2"/>
      <c r="X89" s="7">
        <f t="shared" si="62"/>
        <v>-2368.37</v>
      </c>
      <c r="Y89" s="2"/>
      <c r="Z89" s="6">
        <f t="shared" si="63"/>
        <v>-0.72872923076923068</v>
      </c>
    </row>
    <row r="90" spans="1:26" s="25" customFormat="1" outlineLevel="1" collapsed="1" x14ac:dyDescent="0.25">
      <c r="A90" s="27"/>
      <c r="B90" s="13" t="str">
        <f>CONCATENATE("     ","Travel                                            ")</f>
        <v xml:space="preserve">     Travel                                            </v>
      </c>
      <c r="C90" s="13"/>
      <c r="D90" s="1">
        <f>SUM(OSRRefD22_20x_0)</f>
        <v>0</v>
      </c>
      <c r="E90" s="1"/>
      <c r="F90" s="5">
        <f t="shared" si="56"/>
        <v>0</v>
      </c>
      <c r="G90" s="1"/>
      <c r="H90" s="1">
        <f>SUM(OSRRefH22_20x_0)</f>
        <v>0</v>
      </c>
      <c r="I90" s="1"/>
      <c r="J90" s="5">
        <f t="shared" si="57"/>
        <v>0</v>
      </c>
      <c r="K90" s="1"/>
      <c r="L90" s="1">
        <f t="shared" si="58"/>
        <v>0</v>
      </c>
      <c r="M90" s="1"/>
      <c r="N90" s="5">
        <f t="shared" si="59"/>
        <v>0</v>
      </c>
      <c r="O90" s="13"/>
      <c r="P90" s="1">
        <f>SUM(OSRRefP22_20x_0)</f>
        <v>358.89</v>
      </c>
      <c r="Q90" s="1"/>
      <c r="R90" s="5">
        <f t="shared" si="60"/>
        <v>0</v>
      </c>
      <c r="S90" s="1"/>
      <c r="T90" s="1">
        <f>SUM(OSRRefT22_20x_0)</f>
        <v>0</v>
      </c>
      <c r="U90" s="1"/>
      <c r="V90" s="5">
        <f t="shared" si="61"/>
        <v>0</v>
      </c>
      <c r="W90" s="1"/>
      <c r="X90" s="1">
        <f t="shared" si="62"/>
        <v>358.89</v>
      </c>
      <c r="Y90" s="1"/>
      <c r="Z90" s="5">
        <f t="shared" si="63"/>
        <v>0</v>
      </c>
    </row>
    <row r="91" spans="1:26" s="24" customFormat="1" hidden="1" outlineLevel="2" x14ac:dyDescent="0.25">
      <c r="A91" s="26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56"/>
        <v>0</v>
      </c>
      <c r="G91" s="2"/>
      <c r="H91" s="7"/>
      <c r="I91" s="2"/>
      <c r="J91" s="6">
        <f t="shared" si="57"/>
        <v>0</v>
      </c>
      <c r="K91" s="2"/>
      <c r="L91" s="7">
        <f t="shared" si="58"/>
        <v>0</v>
      </c>
      <c r="M91" s="2"/>
      <c r="N91" s="6">
        <f t="shared" si="59"/>
        <v>0</v>
      </c>
      <c r="O91" s="11"/>
      <c r="P91" s="7">
        <v>299</v>
      </c>
      <c r="Q91" s="2"/>
      <c r="R91" s="6">
        <f t="shared" si="60"/>
        <v>0</v>
      </c>
      <c r="S91" s="2"/>
      <c r="T91" s="7"/>
      <c r="U91" s="2"/>
      <c r="V91" s="6">
        <f t="shared" si="61"/>
        <v>0</v>
      </c>
      <c r="W91" s="2"/>
      <c r="X91" s="7">
        <f t="shared" si="62"/>
        <v>299</v>
      </c>
      <c r="Y91" s="2"/>
      <c r="Z91" s="6">
        <f t="shared" si="63"/>
        <v>0</v>
      </c>
    </row>
    <row r="92" spans="1:26" s="24" customFormat="1" hidden="1" outlineLevel="2" x14ac:dyDescent="0.25">
      <c r="A92" s="26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56"/>
        <v>0</v>
      </c>
      <c r="G92" s="2"/>
      <c r="H92" s="7"/>
      <c r="I92" s="2"/>
      <c r="J92" s="6">
        <f t="shared" si="57"/>
        <v>0</v>
      </c>
      <c r="K92" s="2"/>
      <c r="L92" s="7">
        <f t="shared" si="58"/>
        <v>0</v>
      </c>
      <c r="M92" s="2"/>
      <c r="N92" s="6">
        <f t="shared" si="59"/>
        <v>0</v>
      </c>
      <c r="O92" s="11"/>
      <c r="P92" s="7">
        <v>59.89</v>
      </c>
      <c r="Q92" s="2"/>
      <c r="R92" s="6">
        <f t="shared" si="60"/>
        <v>0</v>
      </c>
      <c r="S92" s="2"/>
      <c r="T92" s="7"/>
      <c r="U92" s="2"/>
      <c r="V92" s="6">
        <f t="shared" si="61"/>
        <v>0</v>
      </c>
      <c r="W92" s="2"/>
      <c r="X92" s="7">
        <f t="shared" si="62"/>
        <v>59.89</v>
      </c>
      <c r="Y92" s="2"/>
      <c r="Z92" s="6">
        <f t="shared" si="63"/>
        <v>0</v>
      </c>
    </row>
    <row r="93" spans="1:26" s="25" customFormat="1" outlineLevel="1" collapsed="1" x14ac:dyDescent="0.25">
      <c r="A93" s="27"/>
      <c r="B93" s="13" t="str">
        <f>CONCATENATE("     ","Utilities                                         ")</f>
        <v xml:space="preserve">     Utilities                                         </v>
      </c>
      <c r="C93" s="13"/>
      <c r="D93" s="1">
        <f>SUM(OSRRefD22_21x_0)</f>
        <v>3399</v>
      </c>
      <c r="E93" s="1"/>
      <c r="F93" s="5">
        <f t="shared" ref="F93:F94" si="64">IF(D$12=0,0,D93/D$12)</f>
        <v>0</v>
      </c>
      <c r="G93" s="1"/>
      <c r="H93" s="1">
        <f>SUM(OSRRefH22_21x_0)</f>
        <v>6000</v>
      </c>
      <c r="I93" s="1"/>
      <c r="J93" s="5">
        <f t="shared" ref="J93:J94" si="65">IF(H$12=0,0,H93/H$12)</f>
        <v>0</v>
      </c>
      <c r="K93" s="1"/>
      <c r="L93" s="1">
        <f t="shared" ref="L93:L94" si="66">+D93-H93</f>
        <v>-2601</v>
      </c>
      <c r="M93" s="1"/>
      <c r="N93" s="5">
        <f t="shared" ref="N93:N94" si="67">IF(H93=0,0,L93/H93)</f>
        <v>-0.4335</v>
      </c>
      <c r="O93" s="13"/>
      <c r="P93" s="1">
        <f>SUM(OSRRefP22_21x_0)</f>
        <v>52267</v>
      </c>
      <c r="Q93" s="1"/>
      <c r="R93" s="5">
        <f t="shared" ref="R93:R94" si="68">IF(P$12=0,0,P93/P$12)</f>
        <v>0</v>
      </c>
      <c r="S93" s="1"/>
      <c r="T93" s="1">
        <f>SUM(OSRRefT22_21x_0)</f>
        <v>54000</v>
      </c>
      <c r="U93" s="1"/>
      <c r="V93" s="5">
        <f t="shared" ref="V93:V94" si="69">IF(T$12=0,0,T93/T$12)</f>
        <v>0</v>
      </c>
      <c r="W93" s="1"/>
      <c r="X93" s="1">
        <f t="shared" ref="X93:X94" si="70">+P93-T93</f>
        <v>-1733</v>
      </c>
      <c r="Y93" s="1"/>
      <c r="Z93" s="5">
        <f t="shared" ref="Z93:Z94" si="71">IF(T93=0,0,X93/T93)</f>
        <v>-3.2092592592592589E-2</v>
      </c>
    </row>
    <row r="94" spans="1:26" s="24" customFormat="1" hidden="1" outlineLevel="2" x14ac:dyDescent="0.25">
      <c r="A94" s="26"/>
      <c r="B94" s="11" t="str">
        <f>CONCATENATE("          ", "6274", " - ", "UTILITIES")</f>
        <v xml:space="preserve">          6274 - UTILITIES</v>
      </c>
      <c r="C94" s="11"/>
      <c r="D94" s="7">
        <v>3399</v>
      </c>
      <c r="E94" s="2"/>
      <c r="F94" s="6">
        <f t="shared" si="64"/>
        <v>0</v>
      </c>
      <c r="G94" s="2"/>
      <c r="H94" s="7">
        <v>6000</v>
      </c>
      <c r="I94" s="2"/>
      <c r="J94" s="6">
        <f t="shared" si="65"/>
        <v>0</v>
      </c>
      <c r="K94" s="2"/>
      <c r="L94" s="7">
        <f t="shared" si="66"/>
        <v>-2601</v>
      </c>
      <c r="M94" s="2"/>
      <c r="N94" s="6">
        <f t="shared" si="67"/>
        <v>-0.4335</v>
      </c>
      <c r="O94" s="11"/>
      <c r="P94" s="7">
        <v>52267</v>
      </c>
      <c r="Q94" s="2"/>
      <c r="R94" s="6">
        <f t="shared" si="68"/>
        <v>0</v>
      </c>
      <c r="S94" s="2"/>
      <c r="T94" s="7">
        <v>54000</v>
      </c>
      <c r="U94" s="2"/>
      <c r="V94" s="6">
        <f t="shared" si="69"/>
        <v>0</v>
      </c>
      <c r="W94" s="2"/>
      <c r="X94" s="7">
        <f t="shared" si="70"/>
        <v>-1733</v>
      </c>
      <c r="Y94" s="2"/>
      <c r="Z94" s="6">
        <f t="shared" si="71"/>
        <v>-3.2092592592592589E-2</v>
      </c>
    </row>
    <row r="95" spans="1:26" s="59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8" t="s">
        <v>293</v>
      </c>
      <c r="C96" s="10"/>
      <c r="D96" s="4">
        <f>SUM(OSRRefD25x_0)</f>
        <v>2385.89</v>
      </c>
      <c r="E96" s="4"/>
      <c r="F96" s="12">
        <f t="shared" ref="F96:F98" si="72">IF(D$12=0,0,D96/D$12)</f>
        <v>0</v>
      </c>
      <c r="G96" s="4"/>
      <c r="H96" s="4">
        <f>SUM(OSRRefH25x_0)</f>
        <v>18675</v>
      </c>
      <c r="I96" s="4"/>
      <c r="J96" s="12">
        <f t="shared" ref="J96:J98" si="73">IF(H$12=0,0,H96/H$12)</f>
        <v>0</v>
      </c>
      <c r="K96" s="4"/>
      <c r="L96" s="4">
        <f t="shared" ref="L96:L98" si="74">+D96-H96</f>
        <v>-16289.11</v>
      </c>
      <c r="M96" s="4"/>
      <c r="N96" s="12">
        <f t="shared" ref="N96:N98" si="75">IF(H96=0,0,L96/H96)</f>
        <v>-0.87224149933065598</v>
      </c>
      <c r="O96" s="10"/>
      <c r="P96" s="4">
        <f>SUM(OSRRefP25x_0)</f>
        <v>177654.33</v>
      </c>
      <c r="Q96" s="4"/>
      <c r="R96" s="12">
        <f t="shared" ref="R96:R98" si="76">IF(P$12=0,0,P96/P$12)</f>
        <v>0</v>
      </c>
      <c r="S96" s="4"/>
      <c r="T96" s="4">
        <f>SUM(OSRRefT25x_0)</f>
        <v>158275</v>
      </c>
      <c r="U96" s="4"/>
      <c r="V96" s="12">
        <f t="shared" ref="V96:V98" si="77">IF(T$12=0,0,T96/T$12)</f>
        <v>0</v>
      </c>
      <c r="W96" s="4"/>
      <c r="X96" s="4">
        <f t="shared" ref="X96:X98" si="78">+P96-T96</f>
        <v>19379.329999999987</v>
      </c>
      <c r="Y96" s="4"/>
      <c r="Z96" s="12">
        <f t="shared" ref="Z96:Z98" si="79">IF(T96=0,0,X96/T96)</f>
        <v>0.12244087821829087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--2385.89</f>
        <v>2385.89</v>
      </c>
      <c r="E97" s="2"/>
      <c r="F97" s="19">
        <f t="shared" si="72"/>
        <v>0</v>
      </c>
      <c r="G97" s="2"/>
      <c r="H97" s="2">
        <v>3200</v>
      </c>
      <c r="I97" s="2"/>
      <c r="J97" s="19">
        <f t="shared" si="73"/>
        <v>0</v>
      </c>
      <c r="K97" s="2"/>
      <c r="L97" s="2">
        <f t="shared" si="74"/>
        <v>-814.11000000000013</v>
      </c>
      <c r="M97" s="2"/>
      <c r="N97" s="19">
        <f t="shared" si="75"/>
        <v>-0.25440937500000005</v>
      </c>
      <c r="O97" s="11"/>
      <c r="P97" s="2">
        <f>--177654.33</f>
        <v>177654.33</v>
      </c>
      <c r="Q97" s="2"/>
      <c r="R97" s="19">
        <f t="shared" si="76"/>
        <v>0</v>
      </c>
      <c r="S97" s="2"/>
      <c r="T97" s="2">
        <v>21100</v>
      </c>
      <c r="U97" s="2"/>
      <c r="V97" s="19">
        <f t="shared" si="77"/>
        <v>0</v>
      </c>
      <c r="W97" s="2"/>
      <c r="X97" s="2">
        <f t="shared" si="78"/>
        <v>156554.32999999999</v>
      </c>
      <c r="Y97" s="2"/>
      <c r="Z97" s="19">
        <f t="shared" si="79"/>
        <v>7.4196364928909944</v>
      </c>
    </row>
    <row r="98" spans="1:26" s="24" customFormat="1" hidden="1" outlineLevel="1" x14ac:dyDescent="0.25">
      <c r="A98" s="44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19">
        <f t="shared" si="72"/>
        <v>0</v>
      </c>
      <c r="G98" s="2"/>
      <c r="H98" s="2">
        <v>15475</v>
      </c>
      <c r="I98" s="2"/>
      <c r="J98" s="19">
        <f t="shared" si="73"/>
        <v>0</v>
      </c>
      <c r="K98" s="2"/>
      <c r="L98" s="2">
        <f t="shared" si="74"/>
        <v>-15475</v>
      </c>
      <c r="M98" s="2"/>
      <c r="N98" s="19">
        <f t="shared" si="75"/>
        <v>-1</v>
      </c>
      <c r="O98" s="11"/>
      <c r="P98" s="2">
        <f>0</f>
        <v>0</v>
      </c>
      <c r="Q98" s="2"/>
      <c r="R98" s="19">
        <f t="shared" si="76"/>
        <v>0</v>
      </c>
      <c r="S98" s="2"/>
      <c r="T98" s="2">
        <v>137175</v>
      </c>
      <c r="U98" s="2"/>
      <c r="V98" s="19">
        <f t="shared" si="77"/>
        <v>0</v>
      </c>
      <c r="W98" s="2"/>
      <c r="X98" s="2">
        <f t="shared" si="78"/>
        <v>-137175</v>
      </c>
      <c r="Y98" s="2"/>
      <c r="Z98" s="19">
        <f t="shared" si="79"/>
        <v>-1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277</v>
      </c>
      <c r="C100" s="29"/>
      <c r="D100" s="20">
        <f>+D16-D18+D96</f>
        <v>-93484.13</v>
      </c>
      <c r="E100" s="14"/>
      <c r="F100" s="21">
        <f>IF(D$12=0,0,D100/D$12)</f>
        <v>0</v>
      </c>
      <c r="G100" s="14"/>
      <c r="H100" s="20">
        <f>+H16-H18+H96</f>
        <v>-94774.977026201537</v>
      </c>
      <c r="I100" s="14"/>
      <c r="J100" s="21">
        <f>IF(H$12=0,0,H100/H$12)</f>
        <v>0</v>
      </c>
      <c r="K100" s="16"/>
      <c r="L100" s="20">
        <f>+D100-H100</f>
        <v>1290.8470262015326</v>
      </c>
      <c r="M100" s="16"/>
      <c r="N100" s="21">
        <f>IF(H100=0,0,L100/H100)</f>
        <v>-1.3620124918043128E-2</v>
      </c>
      <c r="O100" s="28"/>
      <c r="P100" s="20">
        <f>+P16-P18+P96</f>
        <v>-917761.59000000043</v>
      </c>
      <c r="Q100" s="14"/>
      <c r="R100" s="21">
        <f>IF(P$12=0,0,P100/P$12)</f>
        <v>0</v>
      </c>
      <c r="S100" s="14"/>
      <c r="T100" s="20">
        <f>+T16-T18+T96</f>
        <v>-1159261.689847355</v>
      </c>
      <c r="U100" s="14"/>
      <c r="V100" s="21">
        <f>IF(T$12=0,0,T100/T$12)</f>
        <v>0</v>
      </c>
      <c r="W100" s="16"/>
      <c r="X100" s="20">
        <f>+P100-T100</f>
        <v>241500.09984735458</v>
      </c>
      <c r="Y100" s="16"/>
      <c r="Z100" s="21">
        <f>IF(T100=0,0,X100/T100)</f>
        <v>-0.20832233305247405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128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126</v>
      </c>
      <c r="C104" s="29"/>
      <c r="D104" s="34">
        <f>+D100-D102</f>
        <v>-93484.13</v>
      </c>
      <c r="E104" s="14"/>
      <c r="F104" s="30">
        <f>IF(D$12=0,0,D104/D$12)</f>
        <v>0</v>
      </c>
      <c r="G104" s="14"/>
      <c r="H104" s="34">
        <f>+H100-H102</f>
        <v>-94774.977026201537</v>
      </c>
      <c r="I104" s="14"/>
      <c r="J104" s="30">
        <f>IF(H$12=0,0,H104/H$12)</f>
        <v>0</v>
      </c>
      <c r="K104" s="16"/>
      <c r="L104" s="34">
        <f>D104-H104</f>
        <v>1290.8470262015326</v>
      </c>
      <c r="M104" s="16"/>
      <c r="N104" s="30">
        <f>IF(H104=0,0,L104/H104)</f>
        <v>-1.3620124918043128E-2</v>
      </c>
      <c r="O104" s="28"/>
      <c r="P104" s="34">
        <f>+P100-P102</f>
        <v>-917761.59000000043</v>
      </c>
      <c r="Q104" s="14"/>
      <c r="R104" s="30">
        <f>IF(P$12=0,0,P104/P$12)</f>
        <v>0</v>
      </c>
      <c r="S104" s="14"/>
      <c r="T104" s="34">
        <f>+T100-T102</f>
        <v>-1159261.689847355</v>
      </c>
      <c r="U104" s="14"/>
      <c r="V104" s="30">
        <f>IF(T$12=0,0,T104/T$12)</f>
        <v>0</v>
      </c>
      <c r="W104" s="16"/>
      <c r="X104" s="34">
        <f>P104-T104</f>
        <v>241500.09984735458</v>
      </c>
      <c r="Y104" s="16"/>
      <c r="Z104" s="30">
        <f>IF(T104=0,0,X104/T104)</f>
        <v>-0.20832233305247405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294</v>
      </c>
      <c r="C107" s="29"/>
      <c r="D107" s="31">
        <f>SUM(D104:D106)</f>
        <v>-93484.13</v>
      </c>
      <c r="E107" s="14"/>
      <c r="F107" s="35">
        <f>IF(D$12=0,0,D107/D$12)</f>
        <v>0</v>
      </c>
      <c r="G107" s="14"/>
      <c r="H107" s="31">
        <f>SUM(H104:H106)</f>
        <v>-94774.977026201537</v>
      </c>
      <c r="I107" s="14"/>
      <c r="J107" s="35">
        <f>IF(H$12=0,0,H107/H$12)</f>
        <v>0</v>
      </c>
      <c r="K107" s="16"/>
      <c r="L107" s="31">
        <f>+D107-H107</f>
        <v>1290.8470262015326</v>
      </c>
      <c r="M107" s="16"/>
      <c r="N107" s="35">
        <f>IF(H107=0,0,L107/H107)</f>
        <v>-1.3620124918043128E-2</v>
      </c>
      <c r="O107" s="28"/>
      <c r="P107" s="31">
        <f>SUM(P104:P106)</f>
        <v>-917761.59000000043</v>
      </c>
      <c r="Q107" s="14"/>
      <c r="R107" s="35">
        <f>IF(P$12=0,0,P107/P$12)</f>
        <v>0</v>
      </c>
      <c r="S107" s="14"/>
      <c r="T107" s="31">
        <f>SUM(T104:T106)</f>
        <v>-1159261.689847355</v>
      </c>
      <c r="U107" s="14"/>
      <c r="V107" s="35">
        <f>IF(T$12=0,0,T107/T$12)</f>
        <v>0</v>
      </c>
      <c r="W107" s="16"/>
      <c r="X107" s="31">
        <f>+P107-T107</f>
        <v>241500.09984735458</v>
      </c>
      <c r="Y107" s="16"/>
      <c r="Z107" s="35">
        <f>IF(T107=0,0,X107/T107)</f>
        <v>-0.20832233305247405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6">
        <v>44295.961797766206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3" t="s">
        <v>56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4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24297</v>
      </c>
      <c r="I12" s="4"/>
      <c r="J12" s="12"/>
      <c r="K12" s="4"/>
      <c r="L12" s="4">
        <f t="shared" ref="L12:L26" si="0">+D12-H12</f>
        <v>-24297</v>
      </c>
      <c r="M12" s="4"/>
      <c r="N12" s="12">
        <f t="shared" ref="N12:N26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129987</v>
      </c>
      <c r="U12" s="4"/>
      <c r="V12" s="12"/>
      <c r="W12" s="4"/>
      <c r="X12" s="4">
        <f t="shared" ref="X12:X26" si="2">+P12-T12</f>
        <v>-108675.08</v>
      </c>
      <c r="Y12" s="4"/>
      <c r="Z12" s="12">
        <f t="shared" ref="Z12:Z26" si="3">IF(T12=0,0,X12/T12)</f>
        <v>-0.83604575842199602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24297</v>
      </c>
      <c r="I20" s="2"/>
      <c r="J20" s="19"/>
      <c r="K20" s="2"/>
      <c r="L20" s="2">
        <f t="shared" si="0"/>
        <v>-24297</v>
      </c>
      <c r="M20" s="2"/>
      <c r="N20" s="19">
        <f t="shared" si="1"/>
        <v>-1</v>
      </c>
      <c r="O20" s="11"/>
      <c r="P20" s="2">
        <f t="shared" ref="P20:P21" si="5">0</f>
        <v>0</v>
      </c>
      <c r="Q20" s="2"/>
      <c r="R20" s="19"/>
      <c r="S20" s="2"/>
      <c r="T20" s="2">
        <v>129987</v>
      </c>
      <c r="U20" s="2"/>
      <c r="V20" s="19"/>
      <c r="W20" s="2"/>
      <c r="X20" s="2">
        <f t="shared" si="2"/>
        <v>-129987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--1847.16</f>
        <v>1847.16</v>
      </c>
      <c r="Q22" s="2"/>
      <c r="R22" s="19"/>
      <c r="S22" s="2"/>
      <c r="T22" s="2"/>
      <c r="U22" s="2"/>
      <c r="V22" s="19"/>
      <c r="W22" s="2"/>
      <c r="X22" s="2">
        <f t="shared" si="2"/>
        <v>1847.16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/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"4226", " - ", "SALES RETURN TAXABLE-WRITING I")</f>
        <v xml:space="preserve">          4226 - SALES RETURN TAXABLE-WRITING I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6"/>
        <v>0</v>
      </c>
      <c r="Q24" s="2"/>
      <c r="R24" s="19"/>
      <c r="S24" s="2"/>
      <c r="T24" s="2"/>
      <c r="U24" s="2"/>
      <c r="V24" s="19"/>
      <c r="W24" s="2"/>
      <c r="X24" s="2">
        <f t="shared" si="2"/>
        <v>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"4227", " - ", "SALES RETURN TAXABLE-SCHOOL SU")</f>
        <v xml:space="preserve">          4227 - SALES RETURN TAXABLE-SCHOOL SU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-159.97</f>
        <v>-159.97</v>
      </c>
      <c r="Q25" s="2"/>
      <c r="R25" s="19"/>
      <c r="S25" s="2"/>
      <c r="T25" s="2"/>
      <c r="U25" s="2"/>
      <c r="V25" s="19"/>
      <c r="W25" s="2"/>
      <c r="X25" s="2">
        <f t="shared" si="2"/>
        <v>-159.97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"4228", " - ", "SALES RETURN TAXABLE-ART/TECH")</f>
        <v xml:space="preserve">          4228 - SALES RETURN TAXABLE-ART/TECH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-222.2</f>
        <v>-222.2</v>
      </c>
      <c r="Q26" s="2"/>
      <c r="R26" s="19"/>
      <c r="S26" s="2"/>
      <c r="T26" s="2"/>
      <c r="U26" s="2"/>
      <c r="V26" s="19"/>
      <c r="W26" s="2"/>
      <c r="X26" s="2">
        <f t="shared" si="2"/>
        <v>-222.2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collapsed="1" x14ac:dyDescent="0.25">
      <c r="A28" s="10"/>
      <c r="B28" s="28" t="s">
        <v>257</v>
      </c>
      <c r="C28" s="10"/>
      <c r="D28" s="4">
        <f>SUM(OSRRefD16x_0)</f>
        <v>30.48</v>
      </c>
      <c r="E28" s="4"/>
      <c r="F28" s="12">
        <f t="shared" ref="F28:F36" si="7">IF(D$12=0,0,D28/D$12)</f>
        <v>0</v>
      </c>
      <c r="G28" s="4"/>
      <c r="H28" s="4">
        <f>SUM(OSRRefH16x_0)</f>
        <v>12154</v>
      </c>
      <c r="I28" s="4"/>
      <c r="J28" s="12">
        <f t="shared" ref="J28:J36" si="8">IF(H$12=0,0,H28/H$12)</f>
        <v>0.50022636539490473</v>
      </c>
      <c r="K28" s="4"/>
      <c r="L28" s="4">
        <f t="shared" ref="L28:L36" si="9">+D28-H28</f>
        <v>-12123.52</v>
      </c>
      <c r="M28" s="4"/>
      <c r="N28" s="12">
        <f t="shared" ref="N28:N36" si="10">IF(H28=0,0,L28/H28)</f>
        <v>-0.9974921836432451</v>
      </c>
      <c r="O28" s="10"/>
      <c r="P28" s="4">
        <f>SUM(OSRRefP16x_0)</f>
        <v>13773.499999999995</v>
      </c>
      <c r="Q28" s="4"/>
      <c r="R28" s="12">
        <f t="shared" ref="R28:R36" si="11">IF(P$12=0,0,P28/P$12)</f>
        <v>0.64628151757326391</v>
      </c>
      <c r="S28" s="4"/>
      <c r="T28" s="4">
        <f>SUM(OSRRefT16x_0)</f>
        <v>65926</v>
      </c>
      <c r="U28" s="4"/>
      <c r="V28" s="12">
        <f t="shared" ref="V28:V36" si="12">IF(T$12=0,0,T28/T$12)</f>
        <v>0.5071737943025072</v>
      </c>
      <c r="W28" s="4"/>
      <c r="X28" s="4">
        <f t="shared" ref="X28:X36" si="13">+P28-T28</f>
        <v>-52152.500000000007</v>
      </c>
      <c r="Y28" s="4"/>
      <c r="Z28" s="12">
        <f t="shared" ref="Z28:Z36" si="14">IF(T28=0,0,X28/T28)</f>
        <v>-0.79107635834117052</v>
      </c>
    </row>
    <row r="29" spans="1:26" s="24" customFormat="1" hidden="1" outlineLevel="1" x14ac:dyDescent="0.25">
      <c r="A29" s="44"/>
      <c r="B29" s="11" t="str">
        <f>CONCATENATE("          ", "5000", " - ", "PURCHASES @ COST")</f>
        <v xml:space="preserve">          5000 - PURCHASES @ COST</v>
      </c>
      <c r="C29" s="11"/>
      <c r="D29" s="2"/>
      <c r="E29" s="2"/>
      <c r="F29" s="19">
        <f t="shared" si="7"/>
        <v>0</v>
      </c>
      <c r="G29" s="2"/>
      <c r="H29" s="2">
        <v>12154</v>
      </c>
      <c r="I29" s="2"/>
      <c r="J29" s="19">
        <f t="shared" si="8"/>
        <v>0.50022636539490473</v>
      </c>
      <c r="K29" s="2"/>
      <c r="L29" s="2">
        <f t="shared" si="9"/>
        <v>-12154</v>
      </c>
      <c r="M29" s="2"/>
      <c r="N29" s="19">
        <f t="shared" si="10"/>
        <v>-1</v>
      </c>
      <c r="O29" s="11"/>
      <c r="P29" s="2"/>
      <c r="Q29" s="2"/>
      <c r="R29" s="19">
        <f t="shared" si="11"/>
        <v>0</v>
      </c>
      <c r="S29" s="2"/>
      <c r="T29" s="2">
        <v>65926</v>
      </c>
      <c r="U29" s="2"/>
      <c r="V29" s="19">
        <f t="shared" si="12"/>
        <v>0.5071737943025072</v>
      </c>
      <c r="W29" s="2"/>
      <c r="X29" s="2">
        <f t="shared" si="13"/>
        <v>-65926</v>
      </c>
      <c r="Y29" s="2"/>
      <c r="Z29" s="19">
        <f t="shared" si="14"/>
        <v>-1</v>
      </c>
    </row>
    <row r="30" spans="1:26" s="24" customFormat="1" hidden="1" outlineLevel="1" x14ac:dyDescent="0.25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>
        <v>0</v>
      </c>
      <c r="E30" s="2"/>
      <c r="F30" s="19">
        <f t="shared" si="7"/>
        <v>0</v>
      </c>
      <c r="G30" s="2"/>
      <c r="H30" s="2"/>
      <c r="I30" s="2"/>
      <c r="J30" s="19">
        <f t="shared" si="8"/>
        <v>0</v>
      </c>
      <c r="K30" s="2"/>
      <c r="L30" s="2">
        <f t="shared" si="9"/>
        <v>0</v>
      </c>
      <c r="M30" s="2"/>
      <c r="N30" s="19">
        <f t="shared" si="10"/>
        <v>0</v>
      </c>
      <c r="O30" s="11"/>
      <c r="P30" s="2">
        <v>364.91</v>
      </c>
      <c r="Q30" s="2"/>
      <c r="R30" s="19">
        <f t="shared" si="11"/>
        <v>1.7122342801587094E-2</v>
      </c>
      <c r="S30" s="2"/>
      <c r="T30" s="2"/>
      <c r="U30" s="2"/>
      <c r="V30" s="19">
        <f t="shared" si="12"/>
        <v>0</v>
      </c>
      <c r="W30" s="2"/>
      <c r="X30" s="2">
        <f t="shared" si="13"/>
        <v>364.91</v>
      </c>
      <c r="Y30" s="2"/>
      <c r="Z30" s="19">
        <f t="shared" si="14"/>
        <v>0</v>
      </c>
    </row>
    <row r="31" spans="1:26" s="24" customFormat="1" hidden="1" outlineLevel="1" x14ac:dyDescent="0.25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7"/>
        <v>0</v>
      </c>
      <c r="G31" s="2"/>
      <c r="H31" s="2"/>
      <c r="I31" s="2"/>
      <c r="J31" s="19">
        <f t="shared" si="8"/>
        <v>0</v>
      </c>
      <c r="K31" s="2"/>
      <c r="L31" s="2">
        <f t="shared" si="9"/>
        <v>0</v>
      </c>
      <c r="M31" s="2"/>
      <c r="N31" s="19">
        <f t="shared" si="10"/>
        <v>0</v>
      </c>
      <c r="O31" s="11"/>
      <c r="P31" s="2">
        <v>895.47</v>
      </c>
      <c r="Q31" s="2"/>
      <c r="R31" s="19">
        <f t="shared" si="11"/>
        <v>4.201733114613794E-2</v>
      </c>
      <c r="S31" s="2"/>
      <c r="T31" s="2"/>
      <c r="U31" s="2"/>
      <c r="V31" s="19">
        <f t="shared" si="12"/>
        <v>0</v>
      </c>
      <c r="W31" s="2"/>
      <c r="X31" s="2">
        <f t="shared" si="13"/>
        <v>895.47</v>
      </c>
      <c r="Y31" s="2"/>
      <c r="Z31" s="19">
        <f t="shared" si="14"/>
        <v>0</v>
      </c>
    </row>
    <row r="32" spans="1:26" s="24" customFormat="1" hidden="1" outlineLevel="1" x14ac:dyDescent="0.25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7"/>
        <v>0</v>
      </c>
      <c r="G32" s="2"/>
      <c r="H32" s="2"/>
      <c r="I32" s="2"/>
      <c r="J32" s="19">
        <f t="shared" si="8"/>
        <v>0</v>
      </c>
      <c r="K32" s="2"/>
      <c r="L32" s="2">
        <f t="shared" si="9"/>
        <v>0</v>
      </c>
      <c r="M32" s="2"/>
      <c r="N32" s="19">
        <f t="shared" si="10"/>
        <v>0</v>
      </c>
      <c r="O32" s="11"/>
      <c r="P32" s="2">
        <v>41441.85</v>
      </c>
      <c r="Q32" s="2"/>
      <c r="R32" s="19">
        <f t="shared" si="11"/>
        <v>1.9445385493188789</v>
      </c>
      <c r="S32" s="2"/>
      <c r="T32" s="2"/>
      <c r="U32" s="2"/>
      <c r="V32" s="19">
        <f t="shared" si="12"/>
        <v>0</v>
      </c>
      <c r="W32" s="2"/>
      <c r="X32" s="2">
        <f t="shared" si="13"/>
        <v>41441.85</v>
      </c>
      <c r="Y32" s="2"/>
      <c r="Z32" s="19">
        <f t="shared" si="14"/>
        <v>0</v>
      </c>
    </row>
    <row r="33" spans="1:26" s="24" customFormat="1" hidden="1" outlineLevel="1" x14ac:dyDescent="0.25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7"/>
        <v>0</v>
      </c>
      <c r="G33" s="2"/>
      <c r="H33" s="2"/>
      <c r="I33" s="2"/>
      <c r="J33" s="19">
        <f t="shared" si="8"/>
        <v>0</v>
      </c>
      <c r="K33" s="2"/>
      <c r="L33" s="2">
        <f t="shared" si="9"/>
        <v>0</v>
      </c>
      <c r="M33" s="2"/>
      <c r="N33" s="19">
        <f t="shared" si="10"/>
        <v>0</v>
      </c>
      <c r="O33" s="11"/>
      <c r="P33" s="2">
        <v>2441.5700000000002</v>
      </c>
      <c r="Q33" s="2"/>
      <c r="R33" s="19">
        <f t="shared" si="11"/>
        <v>0.11456358695040149</v>
      </c>
      <c r="S33" s="2"/>
      <c r="T33" s="2"/>
      <c r="U33" s="2"/>
      <c r="V33" s="19">
        <f t="shared" si="12"/>
        <v>0</v>
      </c>
      <c r="W33" s="2"/>
      <c r="X33" s="2">
        <f t="shared" si="13"/>
        <v>2441.5700000000002</v>
      </c>
      <c r="Y33" s="2"/>
      <c r="Z33" s="19">
        <f t="shared" si="14"/>
        <v>0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/>
      <c r="E34" s="2"/>
      <c r="F34" s="19">
        <f t="shared" si="7"/>
        <v>0</v>
      </c>
      <c r="G34" s="2"/>
      <c r="H34" s="2"/>
      <c r="I34" s="2"/>
      <c r="J34" s="19">
        <f t="shared" si="8"/>
        <v>0</v>
      </c>
      <c r="K34" s="2"/>
      <c r="L34" s="2">
        <f t="shared" si="9"/>
        <v>0</v>
      </c>
      <c r="M34" s="2"/>
      <c r="N34" s="19">
        <f t="shared" si="10"/>
        <v>0</v>
      </c>
      <c r="O34" s="11"/>
      <c r="P34" s="2">
        <v>-45863.33</v>
      </c>
      <c r="Q34" s="2"/>
      <c r="R34" s="19">
        <f t="shared" si="11"/>
        <v>-2.1520036674311842</v>
      </c>
      <c r="S34" s="2"/>
      <c r="T34" s="2"/>
      <c r="U34" s="2"/>
      <c r="V34" s="19">
        <f t="shared" si="12"/>
        <v>0</v>
      </c>
      <c r="W34" s="2"/>
      <c r="X34" s="2">
        <f t="shared" si="13"/>
        <v>-45863.33</v>
      </c>
      <c r="Y34" s="2"/>
      <c r="Z34" s="19">
        <f t="shared" si="14"/>
        <v>0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>
        <v>14145</v>
      </c>
      <c r="Q35" s="2"/>
      <c r="R35" s="19">
        <f t="shared" si="11"/>
        <v>0.66371307700103988</v>
      </c>
      <c r="S35" s="2"/>
      <c r="T35" s="2"/>
      <c r="U35" s="2"/>
      <c r="V35" s="19">
        <f t="shared" si="12"/>
        <v>0</v>
      </c>
      <c r="W35" s="2"/>
      <c r="X35" s="2">
        <f t="shared" si="13"/>
        <v>14145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"5528", " - ", "FREIGHT-IN-ART/TECH")</f>
        <v xml:space="preserve">          5528 - FREIGHT-IN-ART/TECH</v>
      </c>
      <c r="C36" s="11"/>
      <c r="D36" s="2">
        <v>30.48</v>
      </c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30.48</v>
      </c>
      <c r="M36" s="2"/>
      <c r="N36" s="19">
        <f t="shared" si="10"/>
        <v>0</v>
      </c>
      <c r="O36" s="11"/>
      <c r="P36" s="2">
        <v>348.03</v>
      </c>
      <c r="Q36" s="2"/>
      <c r="R36" s="19">
        <f t="shared" si="11"/>
        <v>1.6330297786403103E-2</v>
      </c>
      <c r="S36" s="2"/>
      <c r="T36" s="2"/>
      <c r="U36" s="2"/>
      <c r="V36" s="19">
        <f t="shared" si="12"/>
        <v>0</v>
      </c>
      <c r="W36" s="2"/>
      <c r="X36" s="2">
        <f t="shared" si="13"/>
        <v>348.03</v>
      </c>
      <c r="Y36" s="2"/>
      <c r="Z36" s="19">
        <f t="shared" si="14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9" t="s">
        <v>108</v>
      </c>
      <c r="C38" s="29"/>
      <c r="D38" s="20">
        <f>D12-D28</f>
        <v>-30.48</v>
      </c>
      <c r="E38" s="14"/>
      <c r="F38" s="21">
        <f>IF(D$12=0,0,D38/D$12)</f>
        <v>0</v>
      </c>
      <c r="G38" s="14"/>
      <c r="H38" s="20">
        <f>H12-H28</f>
        <v>12143</v>
      </c>
      <c r="I38" s="14"/>
      <c r="J38" s="21">
        <f>IF(H$12=0,0,H38/H$12)</f>
        <v>0.49977363460509527</v>
      </c>
      <c r="K38" s="16"/>
      <c r="L38" s="20">
        <f>+D38-H38</f>
        <v>-12173.48</v>
      </c>
      <c r="M38" s="16"/>
      <c r="N38" s="21">
        <f>IF(H38=0,0,L38/H38)</f>
        <v>-1.0025100881166105</v>
      </c>
      <c r="O38" s="28"/>
      <c r="P38" s="20">
        <f>P12-P28</f>
        <v>7538.4200000000037</v>
      </c>
      <c r="Q38" s="14"/>
      <c r="R38" s="21">
        <f>IF(P$12=0,0,P38/P$12)</f>
        <v>0.35371848242673604</v>
      </c>
      <c r="S38" s="14"/>
      <c r="T38" s="20">
        <f>T12-T28</f>
        <v>64061</v>
      </c>
      <c r="U38" s="14"/>
      <c r="V38" s="21">
        <f>IF(T$12=0,0,T38/T$12)</f>
        <v>0.4928262056974928</v>
      </c>
      <c r="W38" s="16"/>
      <c r="X38" s="20">
        <f>+P38-T38</f>
        <v>-56522.579999999994</v>
      </c>
      <c r="Y38" s="16"/>
      <c r="Z38" s="21">
        <f>IF(T38=0,0,X38/T38)</f>
        <v>-0.88232434710666385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8" t="s">
        <v>295</v>
      </c>
      <c r="C40" s="10"/>
      <c r="D40" s="22">
        <f>SUM(OSRRefD22x_0)</f>
        <v>114.11</v>
      </c>
      <c r="E40" s="22"/>
      <c r="F40" s="32">
        <f t="shared" ref="F40:F50" si="15">IF(D$12=0,0,D40/D$12)</f>
        <v>0</v>
      </c>
      <c r="G40" s="22"/>
      <c r="H40" s="22">
        <f>SUM(OSRRefH22x_0)</f>
        <v>15751.023809999999</v>
      </c>
      <c r="I40" s="22"/>
      <c r="J40" s="32">
        <f t="shared" ref="J40:J50" si="16">IF(H$12=0,0,H40/H$12)</f>
        <v>0.64827031361896525</v>
      </c>
      <c r="K40" s="4"/>
      <c r="L40" s="22">
        <f t="shared" ref="L40:L50" si="17">+D40-H40</f>
        <v>-15636.913809999998</v>
      </c>
      <c r="M40" s="4"/>
      <c r="N40" s="32">
        <f t="shared" ref="N40:N50" si="18">IF(H40=0,0,L40/H40)</f>
        <v>-0.9927553915620676</v>
      </c>
      <c r="O40" s="10"/>
      <c r="P40" s="22">
        <f>SUM(OSRRefP22x_0)</f>
        <v>12647.859999999997</v>
      </c>
      <c r="Q40" s="22"/>
      <c r="R40" s="32">
        <f t="shared" ref="R40:R50" si="19">IF(P$12=0,0,P40/P$12)</f>
        <v>0.59346412711759422</v>
      </c>
      <c r="S40" s="22"/>
      <c r="T40" s="22">
        <f>SUM(OSRRefT22x_0)</f>
        <v>113020.74736400001</v>
      </c>
      <c r="U40" s="22"/>
      <c r="V40" s="32">
        <f t="shared" ref="V40:V50" si="20">IF(T$12=0,0,T40/T$12)</f>
        <v>0.86947731206966861</v>
      </c>
      <c r="W40" s="4"/>
      <c r="X40" s="22">
        <f t="shared" ref="X40:X50" si="21">+P40-T40</f>
        <v>-100372.88736400001</v>
      </c>
      <c r="Y40" s="4"/>
      <c r="Z40" s="32">
        <f t="shared" ref="Z40:Z50" si="22">IF(T40=0,0,X40/T40)</f>
        <v>-0.88809258215869247</v>
      </c>
    </row>
    <row r="41" spans="1:26" s="25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0</v>
      </c>
      <c r="E41" s="1"/>
      <c r="F41" s="5">
        <f t="shared" si="15"/>
        <v>0</v>
      </c>
      <c r="G41" s="1"/>
      <c r="H41" s="1">
        <f>SUM(OSRRefH22_0x_0)</f>
        <v>2132.8538099999996</v>
      </c>
      <c r="I41" s="1"/>
      <c r="J41" s="5">
        <f t="shared" si="16"/>
        <v>8.7782599086306937E-2</v>
      </c>
      <c r="K41" s="1"/>
      <c r="L41" s="1">
        <f t="shared" si="17"/>
        <v>-2132.8538099999996</v>
      </c>
      <c r="M41" s="1"/>
      <c r="N41" s="5">
        <f t="shared" si="18"/>
        <v>-1</v>
      </c>
      <c r="O41" s="13"/>
      <c r="P41" s="1">
        <f>SUM(OSRRefP22_0x_0)</f>
        <v>778.2</v>
      </c>
      <c r="Q41" s="1"/>
      <c r="R41" s="5">
        <f t="shared" si="19"/>
        <v>3.6514776707119778E-2</v>
      </c>
      <c r="S41" s="1"/>
      <c r="T41" s="1">
        <f>SUM(OSRRefT22_0x_0)</f>
        <v>18075.237364000001</v>
      </c>
      <c r="U41" s="1"/>
      <c r="V41" s="5">
        <f t="shared" si="20"/>
        <v>0.13905419283466808</v>
      </c>
      <c r="W41" s="1"/>
      <c r="X41" s="1">
        <f t="shared" si="21"/>
        <v>-17297.037364</v>
      </c>
      <c r="Y41" s="1"/>
      <c r="Z41" s="5">
        <f t="shared" si="22"/>
        <v>-0.95694662347561077</v>
      </c>
    </row>
    <row r="42" spans="1:26" s="24" customFormat="1" hidden="1" outlineLevel="2" x14ac:dyDescent="0.25">
      <c r="A42" s="26"/>
      <c r="B42" s="11" t="str">
        <f>CONCATENATE("          ", "6111", " - ", "F.I.C.A.")</f>
        <v xml:space="preserve">          6111 - F.I.C.A.</v>
      </c>
      <c r="C42" s="11"/>
      <c r="D42" s="7"/>
      <c r="E42" s="2"/>
      <c r="F42" s="6">
        <f t="shared" si="15"/>
        <v>0</v>
      </c>
      <c r="G42" s="2"/>
      <c r="H42" s="7">
        <v>490.48842300000001</v>
      </c>
      <c r="I42" s="2"/>
      <c r="J42" s="6">
        <f t="shared" si="16"/>
        <v>2.0187201012470676E-2</v>
      </c>
      <c r="K42" s="2"/>
      <c r="L42" s="7">
        <f t="shared" si="17"/>
        <v>-490.48842300000001</v>
      </c>
      <c r="M42" s="2"/>
      <c r="N42" s="6">
        <f t="shared" si="18"/>
        <v>-1</v>
      </c>
      <c r="O42" s="11"/>
      <c r="P42" s="7">
        <v>484.61</v>
      </c>
      <c r="Q42" s="2"/>
      <c r="R42" s="6">
        <f t="shared" si="19"/>
        <v>2.2738917938881154E-2</v>
      </c>
      <c r="S42" s="2"/>
      <c r="T42" s="7">
        <v>4002.1440029999999</v>
      </c>
      <c r="U42" s="2"/>
      <c r="V42" s="6">
        <f t="shared" si="20"/>
        <v>3.0788801980198018E-2</v>
      </c>
      <c r="W42" s="2"/>
      <c r="X42" s="7">
        <f t="shared" si="21"/>
        <v>-3517.5340029999998</v>
      </c>
      <c r="Y42" s="2"/>
      <c r="Z42" s="6">
        <f t="shared" si="22"/>
        <v>-0.87891240304278473</v>
      </c>
    </row>
    <row r="43" spans="1:26" s="24" customFormat="1" hidden="1" outlineLevel="2" x14ac:dyDescent="0.25">
      <c r="A43" s="26"/>
      <c r="B43" s="11" t="str">
        <f>CONCATENATE("          ", "6112", " - ", "COMPENSATION INSURANCE")</f>
        <v xml:space="preserve">          6112 - COMPENSATION INSURANCE</v>
      </c>
      <c r="C43" s="11"/>
      <c r="D43" s="7"/>
      <c r="E43" s="2"/>
      <c r="F43" s="6">
        <f t="shared" si="15"/>
        <v>0</v>
      </c>
      <c r="G43" s="2"/>
      <c r="H43" s="7">
        <v>194.19764499999999</v>
      </c>
      <c r="I43" s="2"/>
      <c r="J43" s="6">
        <f t="shared" si="16"/>
        <v>7.9926593818166851E-3</v>
      </c>
      <c r="K43" s="2"/>
      <c r="L43" s="7">
        <f t="shared" si="17"/>
        <v>-194.19764499999999</v>
      </c>
      <c r="M43" s="2"/>
      <c r="N43" s="6">
        <f t="shared" si="18"/>
        <v>-1</v>
      </c>
      <c r="O43" s="11"/>
      <c r="P43" s="7">
        <v>255.57</v>
      </c>
      <c r="Q43" s="2"/>
      <c r="R43" s="6">
        <f t="shared" si="19"/>
        <v>1.1991880600152403E-2</v>
      </c>
      <c r="S43" s="2"/>
      <c r="T43" s="7">
        <v>1371.654935</v>
      </c>
      <c r="U43" s="2"/>
      <c r="V43" s="6">
        <f t="shared" si="20"/>
        <v>1.0552247032395547E-2</v>
      </c>
      <c r="W43" s="2"/>
      <c r="X43" s="7">
        <f t="shared" si="21"/>
        <v>-1116.0849350000001</v>
      </c>
      <c r="Y43" s="2"/>
      <c r="Z43" s="6">
        <f t="shared" si="22"/>
        <v>-0.81367762876892946</v>
      </c>
    </row>
    <row r="44" spans="1:26" s="24" customFormat="1" hidden="1" outlineLevel="2" x14ac:dyDescent="0.25">
      <c r="A44" s="26"/>
      <c r="B44" s="11" t="str">
        <f>CONCATENATE("          ", "6113", " - ", "GROUP INSURANCE")</f>
        <v xml:space="preserve">          6113 - GROUP INSURANCE</v>
      </c>
      <c r="C44" s="11"/>
      <c r="D44" s="7"/>
      <c r="E44" s="2"/>
      <c r="F44" s="6">
        <f t="shared" si="15"/>
        <v>0</v>
      </c>
      <c r="G44" s="2"/>
      <c r="H44" s="7">
        <v>665</v>
      </c>
      <c r="I44" s="2"/>
      <c r="J44" s="6">
        <f t="shared" si="16"/>
        <v>2.7369634111207145E-2</v>
      </c>
      <c r="K44" s="2"/>
      <c r="L44" s="7">
        <f t="shared" si="17"/>
        <v>-665</v>
      </c>
      <c r="M44" s="2"/>
      <c r="N44" s="6">
        <f t="shared" si="18"/>
        <v>-1</v>
      </c>
      <c r="O44" s="11"/>
      <c r="P44" s="7">
        <v>0</v>
      </c>
      <c r="Q44" s="2"/>
      <c r="R44" s="6">
        <f t="shared" si="19"/>
        <v>0</v>
      </c>
      <c r="S44" s="2"/>
      <c r="T44" s="7">
        <v>5985</v>
      </c>
      <c r="U44" s="2"/>
      <c r="V44" s="6">
        <f t="shared" si="20"/>
        <v>4.6043065845046041E-2</v>
      </c>
      <c r="W44" s="2"/>
      <c r="X44" s="7">
        <f t="shared" si="21"/>
        <v>-5985</v>
      </c>
      <c r="Y44" s="2"/>
      <c r="Z44" s="6">
        <f t="shared" si="22"/>
        <v>-1</v>
      </c>
    </row>
    <row r="45" spans="1:26" s="24" customFormat="1" hidden="1" outlineLevel="2" x14ac:dyDescent="0.25">
      <c r="A45" s="26"/>
      <c r="B45" s="11" t="str">
        <f>CONCATENATE("          ", "6114", " - ", "STATE UNEMPLOYMENT INSURANCE")</f>
        <v xml:space="preserve">          6114 - STATE UNEMPLOYMENT INSURANCE</v>
      </c>
      <c r="C45" s="11"/>
      <c r="D45" s="7"/>
      <c r="E45" s="2"/>
      <c r="F45" s="6">
        <f t="shared" si="15"/>
        <v>0</v>
      </c>
      <c r="G45" s="2"/>
      <c r="H45" s="7">
        <v>27.292642000000001</v>
      </c>
      <c r="I45" s="2"/>
      <c r="J45" s="6">
        <f t="shared" si="16"/>
        <v>1.1232926698769396E-3</v>
      </c>
      <c r="K45" s="2"/>
      <c r="L45" s="7">
        <f t="shared" si="17"/>
        <v>-27.292642000000001</v>
      </c>
      <c r="M45" s="2"/>
      <c r="N45" s="6">
        <f t="shared" si="18"/>
        <v>-1</v>
      </c>
      <c r="O45" s="11"/>
      <c r="P45" s="7">
        <v>38.020000000000003</v>
      </c>
      <c r="Q45" s="2"/>
      <c r="R45" s="6">
        <f t="shared" si="19"/>
        <v>1.7839781680862169E-3</v>
      </c>
      <c r="S45" s="2"/>
      <c r="T45" s="7">
        <v>192.77312599999999</v>
      </c>
      <c r="U45" s="2"/>
      <c r="V45" s="6">
        <f t="shared" si="20"/>
        <v>1.4830185018501849E-3</v>
      </c>
      <c r="W45" s="2"/>
      <c r="X45" s="7">
        <f t="shared" si="21"/>
        <v>-154.75312599999998</v>
      </c>
      <c r="Y45" s="2"/>
      <c r="Z45" s="6">
        <f t="shared" si="22"/>
        <v>-0.80277333885222146</v>
      </c>
    </row>
    <row r="46" spans="1:26" s="24" customFormat="1" hidden="1" outlineLevel="2" x14ac:dyDescent="0.25">
      <c r="A46" s="26"/>
      <c r="B46" s="11" t="str">
        <f>CONCATENATE("          ", "6115", " - ", "P.E.R.S.")</f>
        <v xml:space="preserve">          6115 - P.E.R.S.</v>
      </c>
      <c r="C46" s="11"/>
      <c r="D46" s="7"/>
      <c r="E46" s="2"/>
      <c r="F46" s="6">
        <f t="shared" si="15"/>
        <v>0</v>
      </c>
      <c r="G46" s="2"/>
      <c r="H46" s="7">
        <v>357.76</v>
      </c>
      <c r="I46" s="2"/>
      <c r="J46" s="6">
        <f t="shared" si="16"/>
        <v>1.4724451578384163E-2</v>
      </c>
      <c r="K46" s="2"/>
      <c r="L46" s="7">
        <f t="shared" si="17"/>
        <v>-357.76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3488.16</v>
      </c>
      <c r="U46" s="2"/>
      <c r="V46" s="6">
        <f t="shared" si="20"/>
        <v>2.6834683468346835E-2</v>
      </c>
      <c r="W46" s="2"/>
      <c r="X46" s="7">
        <f t="shared" si="21"/>
        <v>-3488.16</v>
      </c>
      <c r="Y46" s="2"/>
      <c r="Z46" s="6">
        <f t="shared" si="22"/>
        <v>-1</v>
      </c>
    </row>
    <row r="47" spans="1:26" s="24" customFormat="1" hidden="1" outlineLevel="2" x14ac:dyDescent="0.25">
      <c r="A47" s="26"/>
      <c r="B47" s="11" t="str">
        <f>CONCATENATE("          ", "6116", " - ", "EDUCATIONAL BENEFITS")</f>
        <v xml:space="preserve">          6116 - EDUCATIONAL BENEFITS</v>
      </c>
      <c r="C47" s="11"/>
      <c r="D47" s="7"/>
      <c r="E47" s="2"/>
      <c r="F47" s="6">
        <f t="shared" si="15"/>
        <v>0</v>
      </c>
      <c r="G47" s="2"/>
      <c r="H47" s="7">
        <v>0</v>
      </c>
      <c r="I47" s="2"/>
      <c r="J47" s="6">
        <f t="shared" si="16"/>
        <v>0</v>
      </c>
      <c r="K47" s="2"/>
      <c r="L47" s="7">
        <f t="shared" si="17"/>
        <v>0</v>
      </c>
      <c r="M47" s="2"/>
      <c r="N47" s="6">
        <f t="shared" si="18"/>
        <v>0</v>
      </c>
      <c r="O47" s="11"/>
      <c r="P47" s="7"/>
      <c r="Q47" s="2"/>
      <c r="R47" s="6">
        <f t="shared" si="19"/>
        <v>0</v>
      </c>
      <c r="S47" s="2"/>
      <c r="T47" s="7">
        <v>0</v>
      </c>
      <c r="U47" s="2"/>
      <c r="V47" s="6">
        <f t="shared" si="20"/>
        <v>0</v>
      </c>
      <c r="W47" s="2"/>
      <c r="X47" s="7">
        <f t="shared" si="21"/>
        <v>0</v>
      </c>
      <c r="Y47" s="2"/>
      <c r="Z47" s="6">
        <f t="shared" si="22"/>
        <v>0</v>
      </c>
    </row>
    <row r="48" spans="1:26" s="24" customFormat="1" hidden="1" outlineLevel="2" x14ac:dyDescent="0.25">
      <c r="A48" s="26"/>
      <c r="B48" s="11" t="str">
        <f>CONCATENATE("          ", "6117", " - ", "RETIREMENT STAFF HOURLY")</f>
        <v xml:space="preserve">          6117 - RETIREMENT STAFF HOURLY</v>
      </c>
      <c r="C48" s="11"/>
      <c r="D48" s="7"/>
      <c r="E48" s="2"/>
      <c r="F48" s="6">
        <f t="shared" si="15"/>
        <v>0</v>
      </c>
      <c r="G48" s="2"/>
      <c r="H48" s="7"/>
      <c r="I48" s="2"/>
      <c r="J48" s="6">
        <f t="shared" si="16"/>
        <v>0</v>
      </c>
      <c r="K48" s="2"/>
      <c r="L48" s="7">
        <f t="shared" si="17"/>
        <v>0</v>
      </c>
      <c r="M48" s="2"/>
      <c r="N48" s="6">
        <f t="shared" si="18"/>
        <v>0</v>
      </c>
      <c r="O48" s="11"/>
      <c r="P48" s="7">
        <v>0</v>
      </c>
      <c r="Q48" s="2"/>
      <c r="R48" s="6">
        <f t="shared" si="19"/>
        <v>0</v>
      </c>
      <c r="S48" s="2"/>
      <c r="T48" s="7"/>
      <c r="U48" s="2"/>
      <c r="V48" s="6">
        <f t="shared" si="20"/>
        <v>0</v>
      </c>
      <c r="W48" s="2"/>
      <c r="X48" s="7">
        <f t="shared" si="21"/>
        <v>0</v>
      </c>
      <c r="Y48" s="2"/>
      <c r="Z48" s="6">
        <f t="shared" si="22"/>
        <v>0</v>
      </c>
    </row>
    <row r="49" spans="1:26" s="24" customFormat="1" hidden="1" outlineLevel="2" x14ac:dyDescent="0.25">
      <c r="A49" s="26"/>
      <c r="B49" s="11" t="str">
        <f>CONCATENATE("          ", "6118", " - ", "VACATION")</f>
        <v xml:space="preserve">          6118 - VACATION</v>
      </c>
      <c r="C49" s="11"/>
      <c r="D49" s="7"/>
      <c r="E49" s="2"/>
      <c r="F49" s="6">
        <f t="shared" si="15"/>
        <v>0</v>
      </c>
      <c r="G49" s="2"/>
      <c r="H49" s="7">
        <v>124.8</v>
      </c>
      <c r="I49" s="2"/>
      <c r="J49" s="6">
        <f t="shared" si="16"/>
        <v>5.1364365971107544E-3</v>
      </c>
      <c r="K49" s="2"/>
      <c r="L49" s="7">
        <f t="shared" si="17"/>
        <v>-124.8</v>
      </c>
      <c r="M49" s="2"/>
      <c r="N49" s="6">
        <f t="shared" si="18"/>
        <v>-1</v>
      </c>
      <c r="O49" s="11"/>
      <c r="P49" s="7"/>
      <c r="Q49" s="2"/>
      <c r="R49" s="6">
        <f t="shared" si="19"/>
        <v>0</v>
      </c>
      <c r="S49" s="2"/>
      <c r="T49" s="7">
        <v>1216.8</v>
      </c>
      <c r="U49" s="2"/>
      <c r="V49" s="6">
        <f t="shared" si="20"/>
        <v>9.3609360936093601E-3</v>
      </c>
      <c r="W49" s="2"/>
      <c r="X49" s="7">
        <f t="shared" si="21"/>
        <v>-1216.8</v>
      </c>
      <c r="Y49" s="2"/>
      <c r="Z49" s="6">
        <f t="shared" si="22"/>
        <v>-1</v>
      </c>
    </row>
    <row r="50" spans="1:26" s="24" customFormat="1" hidden="1" outlineLevel="2" x14ac:dyDescent="0.25">
      <c r="A50" s="26"/>
      <c r="B50" s="11" t="str">
        <f>CONCATENATE("          ", "6119", " - ", "SICK LEAVE")</f>
        <v xml:space="preserve">          6119 - SICK LEAVE</v>
      </c>
      <c r="C50" s="11"/>
      <c r="D50" s="7"/>
      <c r="E50" s="2"/>
      <c r="F50" s="6">
        <f t="shared" si="15"/>
        <v>0</v>
      </c>
      <c r="G50" s="2"/>
      <c r="H50" s="7">
        <v>273.31509999999997</v>
      </c>
      <c r="I50" s="2"/>
      <c r="J50" s="6">
        <f t="shared" si="16"/>
        <v>1.1248923735440588E-2</v>
      </c>
      <c r="K50" s="2"/>
      <c r="L50" s="7">
        <f t="shared" si="17"/>
        <v>-273.31509999999997</v>
      </c>
      <c r="M50" s="2"/>
      <c r="N50" s="6">
        <f t="shared" si="18"/>
        <v>-1</v>
      </c>
      <c r="O50" s="11"/>
      <c r="P50" s="7"/>
      <c r="Q50" s="2"/>
      <c r="R50" s="6">
        <f t="shared" si="19"/>
        <v>0</v>
      </c>
      <c r="S50" s="2"/>
      <c r="T50" s="7">
        <v>1818.7053000000001</v>
      </c>
      <c r="U50" s="2"/>
      <c r="V50" s="6">
        <f t="shared" si="20"/>
        <v>1.3991439913222091E-2</v>
      </c>
      <c r="W50" s="2"/>
      <c r="X50" s="7">
        <f t="shared" si="21"/>
        <v>-1818.7053000000001</v>
      </c>
      <c r="Y50" s="2"/>
      <c r="Z50" s="6">
        <f t="shared" si="22"/>
        <v>-1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0</v>
      </c>
      <c r="E51" s="1"/>
      <c r="F51" s="5">
        <f t="shared" ref="F51:F61" si="23">IF(D$12=0,0,D51/D$12)</f>
        <v>0</v>
      </c>
      <c r="G51" s="1"/>
      <c r="H51" s="1">
        <f>SUM(OSRRefH22_1x_0)</f>
        <v>10289.17</v>
      </c>
      <c r="I51" s="1"/>
      <c r="J51" s="5">
        <f t="shared" ref="J51:J61" si="24">IF(H$12=0,0,H51/H$12)</f>
        <v>0.42347491459851011</v>
      </c>
      <c r="K51" s="1"/>
      <c r="L51" s="1">
        <f t="shared" ref="L51:L61" si="25">+D51-H51</f>
        <v>-10289.17</v>
      </c>
      <c r="M51" s="1"/>
      <c r="N51" s="5">
        <f t="shared" ref="N51:N61" si="26">IF(H51=0,0,L51/H51)</f>
        <v>-1</v>
      </c>
      <c r="O51" s="13"/>
      <c r="P51" s="1">
        <f>SUM(OSRRefP22_1x_0)</f>
        <v>8152.5399999999991</v>
      </c>
      <c r="Q51" s="1"/>
      <c r="R51" s="5">
        <f t="shared" ref="R51:R61" si="27">IF(P$12=0,0,P51/P$12)</f>
        <v>0.38253428128483963</v>
      </c>
      <c r="S51" s="1"/>
      <c r="T51" s="1">
        <f>SUM(OSRRefT22_1x_0)</f>
        <v>72115.509999999995</v>
      </c>
      <c r="U51" s="1"/>
      <c r="V51" s="5">
        <f t="shared" ref="V51:V61" si="28">IF(T$12=0,0,T51/T$12)</f>
        <v>0.55479017132482478</v>
      </c>
      <c r="W51" s="1"/>
      <c r="X51" s="1">
        <f t="shared" ref="X51:X61" si="29">+P51-T51</f>
        <v>-63962.969999999994</v>
      </c>
      <c r="Y51" s="1"/>
      <c r="Z51" s="5">
        <f t="shared" ref="Z51:Z61" si="30">IF(T51=0,0,X51/T51)</f>
        <v>-0.88695164188674525</v>
      </c>
    </row>
    <row r="52" spans="1:26" s="24" customFormat="1" hidden="1" outlineLevel="2" x14ac:dyDescent="0.25">
      <c r="A52" s="26"/>
      <c r="B52" s="11" t="str">
        <f>CONCATENATE("          ", "6001", " - ", "ADMINISTRATIVE SALARIES")</f>
        <v xml:space="preserve">          6001 - ADMINISTRATIVE SALARIES</v>
      </c>
      <c r="C52" s="11"/>
      <c r="D52" s="7"/>
      <c r="E52" s="2"/>
      <c r="F52" s="6">
        <f t="shared" si="23"/>
        <v>0</v>
      </c>
      <c r="G52" s="2"/>
      <c r="H52" s="7">
        <v>3952</v>
      </c>
      <c r="I52" s="2"/>
      <c r="J52" s="6">
        <f t="shared" si="24"/>
        <v>0.16265382557517388</v>
      </c>
      <c r="K52" s="2"/>
      <c r="L52" s="7">
        <f t="shared" si="25"/>
        <v>-3952</v>
      </c>
      <c r="M52" s="2"/>
      <c r="N52" s="6">
        <f t="shared" si="26"/>
        <v>-1</v>
      </c>
      <c r="O52" s="11"/>
      <c r="P52" s="7"/>
      <c r="Q52" s="2"/>
      <c r="R52" s="6">
        <f t="shared" si="27"/>
        <v>0</v>
      </c>
      <c r="S52" s="2"/>
      <c r="T52" s="7">
        <v>38532</v>
      </c>
      <c r="U52" s="2"/>
      <c r="V52" s="6">
        <f t="shared" si="28"/>
        <v>0.29642964296429641</v>
      </c>
      <c r="W52" s="2"/>
      <c r="X52" s="7">
        <f t="shared" si="29"/>
        <v>-38532</v>
      </c>
      <c r="Y52" s="2"/>
      <c r="Z52" s="6">
        <f t="shared" si="30"/>
        <v>-1</v>
      </c>
    </row>
    <row r="53" spans="1:26" s="24" customFormat="1" hidden="1" outlineLevel="2" x14ac:dyDescent="0.25">
      <c r="A53" s="26"/>
      <c r="B53" s="11" t="str">
        <f>CONCATENATE("          ", "6002", " - ", "STAFF SALARIES")</f>
        <v xml:space="preserve">          6002 - STAFF SALARIES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6"/>
      <c r="B54" s="11" t="str">
        <f>CONCATENATE("          ", "6003", " - ", "STAFF HOURLY-9 MONTH")</f>
        <v xml:space="preserve">          6003 - STAFF HOURLY-9 MONTH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4" customFormat="1" hidden="1" outlineLevel="2" x14ac:dyDescent="0.25">
      <c r="A55" s="26"/>
      <c r="B55" s="11" t="str">
        <f>CONCATENATE("          ", "6004", " - ", "STAFF HOURLY")</f>
        <v xml:space="preserve">          6004 - STAFF HOURLY</v>
      </c>
      <c r="C55" s="11"/>
      <c r="D55" s="7"/>
      <c r="E55" s="2"/>
      <c r="F55" s="6">
        <f t="shared" si="23"/>
        <v>0</v>
      </c>
      <c r="G55" s="2"/>
      <c r="H55" s="7">
        <v>2249.1</v>
      </c>
      <c r="I55" s="2"/>
      <c r="J55" s="6">
        <f t="shared" si="24"/>
        <v>9.2566983578219533E-2</v>
      </c>
      <c r="K55" s="2"/>
      <c r="L55" s="7">
        <f t="shared" si="25"/>
        <v>-2249.1</v>
      </c>
      <c r="M55" s="2"/>
      <c r="N55" s="6">
        <f t="shared" si="26"/>
        <v>-1</v>
      </c>
      <c r="O55" s="11"/>
      <c r="P55" s="7"/>
      <c r="Q55" s="2"/>
      <c r="R55" s="6">
        <f t="shared" si="27"/>
        <v>0</v>
      </c>
      <c r="S55" s="2"/>
      <c r="T55" s="7">
        <v>11735.1</v>
      </c>
      <c r="U55" s="2"/>
      <c r="V55" s="6">
        <f t="shared" si="28"/>
        <v>9.0279027902790285E-2</v>
      </c>
      <c r="W55" s="2"/>
      <c r="X55" s="7">
        <f t="shared" si="29"/>
        <v>-11735.1</v>
      </c>
      <c r="Y55" s="2"/>
      <c r="Z55" s="6">
        <f t="shared" si="30"/>
        <v>-1</v>
      </c>
    </row>
    <row r="56" spans="1:26" s="24" customFormat="1" hidden="1" outlineLevel="2" x14ac:dyDescent="0.25">
      <c r="A56" s="26"/>
      <c r="B56" s="11" t="str">
        <f>CONCATENATE("          ", "6005", " - ", "TEMPORARY WAGES-HOURLY")</f>
        <v xml:space="preserve">          6005 - TEMPORARY WAGES-HOURLY</v>
      </c>
      <c r="C56" s="11"/>
      <c r="D56" s="7"/>
      <c r="E56" s="2"/>
      <c r="F56" s="6">
        <f t="shared" si="23"/>
        <v>0</v>
      </c>
      <c r="G56" s="2"/>
      <c r="H56" s="7">
        <v>2058</v>
      </c>
      <c r="I56" s="2"/>
      <c r="J56" s="6">
        <f t="shared" si="24"/>
        <v>8.4701815038893694E-2</v>
      </c>
      <c r="K56" s="2"/>
      <c r="L56" s="7">
        <f t="shared" si="25"/>
        <v>-2058</v>
      </c>
      <c r="M56" s="2"/>
      <c r="N56" s="6">
        <f t="shared" si="26"/>
        <v>-1</v>
      </c>
      <c r="O56" s="11"/>
      <c r="P56" s="7">
        <v>5379.19</v>
      </c>
      <c r="Q56" s="2"/>
      <c r="R56" s="6">
        <f t="shared" si="27"/>
        <v>0.25240288064144384</v>
      </c>
      <c r="S56" s="2"/>
      <c r="T56" s="7">
        <v>7196</v>
      </c>
      <c r="U56" s="2"/>
      <c r="V56" s="6">
        <f t="shared" si="28"/>
        <v>5.5359382092055362E-2</v>
      </c>
      <c r="W56" s="2"/>
      <c r="X56" s="7">
        <f t="shared" si="29"/>
        <v>-1816.8100000000004</v>
      </c>
      <c r="Y56" s="2"/>
      <c r="Z56" s="6">
        <f t="shared" si="30"/>
        <v>-0.25247498610339081</v>
      </c>
    </row>
    <row r="57" spans="1:26" s="24" customFormat="1" hidden="1" outlineLevel="2" x14ac:dyDescent="0.25">
      <c r="A57" s="26"/>
      <c r="B57" s="11" t="str">
        <f>CONCATENATE("          ", "6006", " - ", "TEMPORARY PART TIME")</f>
        <v xml:space="preserve">          6006 - TEMPORARY PART TIME</v>
      </c>
      <c r="C57" s="11"/>
      <c r="D57" s="7"/>
      <c r="E57" s="2"/>
      <c r="F57" s="6">
        <f t="shared" si="23"/>
        <v>0</v>
      </c>
      <c r="G57" s="2"/>
      <c r="H57" s="7">
        <v>0</v>
      </c>
      <c r="I57" s="2"/>
      <c r="J57" s="6">
        <f t="shared" si="24"/>
        <v>0</v>
      </c>
      <c r="K57" s="2"/>
      <c r="L57" s="7">
        <f t="shared" si="25"/>
        <v>0</v>
      </c>
      <c r="M57" s="2"/>
      <c r="N57" s="6">
        <f t="shared" si="26"/>
        <v>0</v>
      </c>
      <c r="O57" s="11"/>
      <c r="P57" s="7"/>
      <c r="Q57" s="2"/>
      <c r="R57" s="6">
        <f t="shared" si="27"/>
        <v>0</v>
      </c>
      <c r="S57" s="2"/>
      <c r="T57" s="7">
        <v>0</v>
      </c>
      <c r="U57" s="2"/>
      <c r="V57" s="6">
        <f t="shared" si="28"/>
        <v>0</v>
      </c>
      <c r="W57" s="2"/>
      <c r="X57" s="7">
        <f t="shared" si="29"/>
        <v>0</v>
      </c>
      <c r="Y57" s="2"/>
      <c r="Z57" s="6">
        <f t="shared" si="30"/>
        <v>0</v>
      </c>
    </row>
    <row r="58" spans="1:26" s="24" customFormat="1" hidden="1" outlineLevel="2" x14ac:dyDescent="0.25">
      <c r="A58" s="26"/>
      <c r="B58" s="11" t="str">
        <f>CONCATENATE("          ", "6007", " - ", "STUDENT HOURLY")</f>
        <v xml:space="preserve">          6007 - STUDENT HOURLY</v>
      </c>
      <c r="C58" s="11"/>
      <c r="D58" s="7"/>
      <c r="E58" s="2"/>
      <c r="F58" s="6">
        <f t="shared" si="23"/>
        <v>0</v>
      </c>
      <c r="G58" s="2"/>
      <c r="H58" s="7">
        <v>0</v>
      </c>
      <c r="I58" s="2"/>
      <c r="J58" s="6">
        <f t="shared" si="24"/>
        <v>0</v>
      </c>
      <c r="K58" s="2"/>
      <c r="L58" s="7">
        <f t="shared" si="25"/>
        <v>0</v>
      </c>
      <c r="M58" s="2"/>
      <c r="N58" s="6">
        <f t="shared" si="26"/>
        <v>0</v>
      </c>
      <c r="O58" s="11"/>
      <c r="P58" s="7">
        <v>2773.35</v>
      </c>
      <c r="Q58" s="2"/>
      <c r="R58" s="6">
        <f t="shared" si="27"/>
        <v>0.13013140064339582</v>
      </c>
      <c r="S58" s="2"/>
      <c r="T58" s="7">
        <v>0</v>
      </c>
      <c r="U58" s="2"/>
      <c r="V58" s="6">
        <f t="shared" si="28"/>
        <v>0</v>
      </c>
      <c r="W58" s="2"/>
      <c r="X58" s="7">
        <f t="shared" si="29"/>
        <v>2773.35</v>
      </c>
      <c r="Y58" s="2"/>
      <c r="Z58" s="6">
        <f t="shared" si="30"/>
        <v>0</v>
      </c>
    </row>
    <row r="59" spans="1:26" s="24" customFormat="1" hidden="1" outlineLevel="2" x14ac:dyDescent="0.25">
      <c r="A59" s="26"/>
      <c r="B59" s="11" t="str">
        <f>CONCATENATE("          ", "6008", " - ", "STUDENT HOURLY-FICA EXEMPT")</f>
        <v xml:space="preserve">          6008 - STUDENT HOURLY-FICA EXEMPT</v>
      </c>
      <c r="C59" s="11"/>
      <c r="D59" s="7"/>
      <c r="E59" s="2"/>
      <c r="F59" s="6">
        <f t="shared" si="23"/>
        <v>0</v>
      </c>
      <c r="G59" s="2"/>
      <c r="H59" s="7">
        <v>2030.07</v>
      </c>
      <c r="I59" s="2"/>
      <c r="J59" s="6">
        <f t="shared" si="24"/>
        <v>8.3552290406222987E-2</v>
      </c>
      <c r="K59" s="2"/>
      <c r="L59" s="7">
        <f t="shared" si="25"/>
        <v>-2030.07</v>
      </c>
      <c r="M59" s="2"/>
      <c r="N59" s="6">
        <f t="shared" si="26"/>
        <v>-1</v>
      </c>
      <c r="O59" s="11"/>
      <c r="P59" s="7"/>
      <c r="Q59" s="2"/>
      <c r="R59" s="6">
        <f t="shared" si="27"/>
        <v>0</v>
      </c>
      <c r="S59" s="2"/>
      <c r="T59" s="7">
        <v>14652.41</v>
      </c>
      <c r="U59" s="2"/>
      <c r="V59" s="6">
        <f t="shared" si="28"/>
        <v>0.11272211836568272</v>
      </c>
      <c r="W59" s="2"/>
      <c r="X59" s="7">
        <f t="shared" si="29"/>
        <v>-14652.41</v>
      </c>
      <c r="Y59" s="2"/>
      <c r="Z59" s="6">
        <f t="shared" si="30"/>
        <v>-1</v>
      </c>
    </row>
    <row r="60" spans="1:26" s="24" customFormat="1" hidden="1" outlineLevel="2" x14ac:dyDescent="0.25">
      <c r="A60" s="26"/>
      <c r="B60" s="11" t="str">
        <f>CONCATENATE("          ", "6009", " - ", "TEMPORARY-SEASONAL")</f>
        <v xml:space="preserve">          6009 - TEMPORARY-SEASONAL</v>
      </c>
      <c r="C60" s="11"/>
      <c r="D60" s="7"/>
      <c r="E60" s="2"/>
      <c r="F60" s="6">
        <f t="shared" si="23"/>
        <v>0</v>
      </c>
      <c r="G60" s="2"/>
      <c r="H60" s="7">
        <v>0</v>
      </c>
      <c r="I60" s="2"/>
      <c r="J60" s="6">
        <f t="shared" si="24"/>
        <v>0</v>
      </c>
      <c r="K60" s="2"/>
      <c r="L60" s="7">
        <f t="shared" si="25"/>
        <v>0</v>
      </c>
      <c r="M60" s="2"/>
      <c r="N60" s="6">
        <f t="shared" si="26"/>
        <v>0</v>
      </c>
      <c r="O60" s="11"/>
      <c r="P60" s="7"/>
      <c r="Q60" s="2"/>
      <c r="R60" s="6">
        <f t="shared" si="27"/>
        <v>0</v>
      </c>
      <c r="S60" s="2"/>
      <c r="T60" s="7">
        <v>0</v>
      </c>
      <c r="U60" s="2"/>
      <c r="V60" s="6">
        <f t="shared" si="28"/>
        <v>0</v>
      </c>
      <c r="W60" s="2"/>
      <c r="X60" s="7">
        <f t="shared" si="29"/>
        <v>0</v>
      </c>
      <c r="Y60" s="2"/>
      <c r="Z60" s="6">
        <f t="shared" si="30"/>
        <v>0</v>
      </c>
    </row>
    <row r="61" spans="1:26" s="24" customFormat="1" hidden="1" outlineLevel="2" x14ac:dyDescent="0.25">
      <c r="A61" s="26"/>
      <c r="B61" s="11" t="str">
        <f>CONCATENATE("          ", "6010", " - ", "GRATUITY")</f>
        <v xml:space="preserve">          6010 - GRATUITY</v>
      </c>
      <c r="C61" s="11"/>
      <c r="D61" s="7"/>
      <c r="E61" s="2"/>
      <c r="F61" s="6">
        <f t="shared" si="23"/>
        <v>0</v>
      </c>
      <c r="G61" s="2"/>
      <c r="H61" s="7">
        <v>0</v>
      </c>
      <c r="I61" s="2"/>
      <c r="J61" s="6">
        <f t="shared" si="24"/>
        <v>0</v>
      </c>
      <c r="K61" s="2"/>
      <c r="L61" s="7">
        <f t="shared" si="25"/>
        <v>0</v>
      </c>
      <c r="M61" s="2"/>
      <c r="N61" s="6">
        <f t="shared" si="26"/>
        <v>0</v>
      </c>
      <c r="O61" s="11"/>
      <c r="P61" s="7"/>
      <c r="Q61" s="2"/>
      <c r="R61" s="6">
        <f t="shared" si="27"/>
        <v>0</v>
      </c>
      <c r="S61" s="2"/>
      <c r="T61" s="7">
        <v>0</v>
      </c>
      <c r="U61" s="2"/>
      <c r="V61" s="6">
        <f t="shared" si="28"/>
        <v>0</v>
      </c>
      <c r="W61" s="2"/>
      <c r="X61" s="7">
        <f t="shared" si="29"/>
        <v>0</v>
      </c>
      <c r="Y61" s="2"/>
      <c r="Z61" s="6">
        <f t="shared" si="30"/>
        <v>0</v>
      </c>
    </row>
    <row r="62" spans="1:26" s="25" customFormat="1" outlineLevel="1" collapsed="1" x14ac:dyDescent="0.25">
      <c r="A62" s="27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0</v>
      </c>
      <c r="E62" s="1"/>
      <c r="F62" s="5">
        <f t="shared" ref="F62:F70" si="31">IF(D$12=0,0,D62/D$12)</f>
        <v>0</v>
      </c>
      <c r="G62" s="1"/>
      <c r="H62" s="1">
        <f>SUM(OSRRefH22_2x_0)</f>
        <v>100</v>
      </c>
      <c r="I62" s="1"/>
      <c r="J62" s="5">
        <f t="shared" ref="J62:J70" si="32">IF(H$12=0,0,H62/H$12)</f>
        <v>4.1157344528131041E-3</v>
      </c>
      <c r="K62" s="1"/>
      <c r="L62" s="1">
        <f t="shared" ref="L62:L70" si="33">+D62-H62</f>
        <v>-100</v>
      </c>
      <c r="M62" s="1"/>
      <c r="N62" s="5">
        <f t="shared" ref="N62:N70" si="34">IF(H62=0,0,L62/H62)</f>
        <v>-1</v>
      </c>
      <c r="O62" s="13"/>
      <c r="P62" s="1">
        <f>SUM(OSRRefP22_2x_0)</f>
        <v>124.72</v>
      </c>
      <c r="Q62" s="1"/>
      <c r="R62" s="5">
        <f t="shared" ref="R62:R70" si="35">IF(P$12=0,0,P62/P$12)</f>
        <v>5.8521240695347957E-3</v>
      </c>
      <c r="S62" s="1"/>
      <c r="T62" s="1">
        <f>SUM(OSRRefT22_2x_0)</f>
        <v>800</v>
      </c>
      <c r="U62" s="1"/>
      <c r="V62" s="5">
        <f t="shared" ref="V62:V70" si="36">IF(T$12=0,0,T62/T$12)</f>
        <v>6.1544616000061541E-3</v>
      </c>
      <c r="W62" s="1"/>
      <c r="X62" s="1">
        <f t="shared" ref="X62:X70" si="37">+P62-T62</f>
        <v>-675.28</v>
      </c>
      <c r="Y62" s="1"/>
      <c r="Z62" s="5">
        <f t="shared" ref="Z62:Z70" si="38">IF(T62=0,0,X62/T62)</f>
        <v>-0.84409999999999996</v>
      </c>
    </row>
    <row r="63" spans="1:26" s="24" customFormat="1" hidden="1" outlineLevel="2" x14ac:dyDescent="0.25">
      <c r="A63" s="26"/>
      <c r="B63" s="11" t="str">
        <f>CONCATENATE("          ", "6362", " - ", "ADVERTISING EXPENSE")</f>
        <v xml:space="preserve">          6362 - ADVERTISING EXPENSE</v>
      </c>
      <c r="C63" s="11"/>
      <c r="D63" s="7"/>
      <c r="E63" s="2"/>
      <c r="F63" s="6">
        <f t="shared" si="31"/>
        <v>0</v>
      </c>
      <c r="G63" s="2"/>
      <c r="H63" s="7">
        <v>100</v>
      </c>
      <c r="I63" s="2"/>
      <c r="J63" s="6">
        <f t="shared" si="32"/>
        <v>4.1157344528131041E-3</v>
      </c>
      <c r="K63" s="2"/>
      <c r="L63" s="7">
        <f t="shared" si="33"/>
        <v>-100</v>
      </c>
      <c r="M63" s="2"/>
      <c r="N63" s="6">
        <f t="shared" si="34"/>
        <v>-1</v>
      </c>
      <c r="O63" s="11"/>
      <c r="P63" s="7">
        <v>124.72</v>
      </c>
      <c r="Q63" s="2"/>
      <c r="R63" s="6">
        <f t="shared" si="35"/>
        <v>5.8521240695347957E-3</v>
      </c>
      <c r="S63" s="2"/>
      <c r="T63" s="7">
        <v>800</v>
      </c>
      <c r="U63" s="2"/>
      <c r="V63" s="6">
        <f t="shared" si="36"/>
        <v>6.1544616000061541E-3</v>
      </c>
      <c r="W63" s="2"/>
      <c r="X63" s="7">
        <f t="shared" si="37"/>
        <v>-675.28</v>
      </c>
      <c r="Y63" s="2"/>
      <c r="Z63" s="6">
        <f t="shared" si="38"/>
        <v>-0.84409999999999996</v>
      </c>
    </row>
    <row r="64" spans="1:26" s="25" customFormat="1" outlineLevel="1" collapsed="1" x14ac:dyDescent="0.25">
      <c r="A64" s="27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0</v>
      </c>
      <c r="E64" s="1"/>
      <c r="F64" s="5">
        <f t="shared" si="31"/>
        <v>0</v>
      </c>
      <c r="G64" s="1"/>
      <c r="H64" s="1">
        <f>SUM(OSRRefH22_3x_0)</f>
        <v>0</v>
      </c>
      <c r="I64" s="1"/>
      <c r="J64" s="5">
        <f t="shared" si="32"/>
        <v>0</v>
      </c>
      <c r="K64" s="1"/>
      <c r="L64" s="1">
        <f t="shared" si="33"/>
        <v>0</v>
      </c>
      <c r="M64" s="1"/>
      <c r="N64" s="5">
        <f t="shared" si="34"/>
        <v>0</v>
      </c>
      <c r="O64" s="13"/>
      <c r="P64" s="1">
        <f>SUM(OSRRefP22_3x_0)</f>
        <v>1.1000000000000001</v>
      </c>
      <c r="Q64" s="1"/>
      <c r="R64" s="5">
        <f t="shared" si="35"/>
        <v>5.1614307861516002E-5</v>
      </c>
      <c r="S64" s="1"/>
      <c r="T64" s="1">
        <f>SUM(OSRRefT22_3x_0)</f>
        <v>0</v>
      </c>
      <c r="U64" s="1"/>
      <c r="V64" s="5">
        <f t="shared" si="36"/>
        <v>0</v>
      </c>
      <c r="W64" s="1"/>
      <c r="X64" s="1">
        <f t="shared" si="37"/>
        <v>1.1000000000000001</v>
      </c>
      <c r="Y64" s="1"/>
      <c r="Z64" s="5">
        <f t="shared" si="38"/>
        <v>0</v>
      </c>
    </row>
    <row r="65" spans="1:26" s="24" customFormat="1" hidden="1" outlineLevel="2" x14ac:dyDescent="0.25">
      <c r="A65" s="26"/>
      <c r="B65" s="11" t="str">
        <f>CONCATENATE("          ", "6272", " - ", "CASH (OVER/SHORT)")</f>
        <v xml:space="preserve">          6272 - CASH (OVER/SHORT)</v>
      </c>
      <c r="C65" s="11"/>
      <c r="D65" s="7"/>
      <c r="E65" s="2"/>
      <c r="F65" s="6">
        <f t="shared" si="31"/>
        <v>0</v>
      </c>
      <c r="G65" s="2"/>
      <c r="H65" s="7"/>
      <c r="I65" s="2"/>
      <c r="J65" s="6">
        <f t="shared" si="32"/>
        <v>0</v>
      </c>
      <c r="K65" s="2"/>
      <c r="L65" s="7">
        <f t="shared" si="33"/>
        <v>0</v>
      </c>
      <c r="M65" s="2"/>
      <c r="N65" s="6">
        <f t="shared" si="34"/>
        <v>0</v>
      </c>
      <c r="O65" s="11"/>
      <c r="P65" s="7">
        <v>1.1000000000000001</v>
      </c>
      <c r="Q65" s="2"/>
      <c r="R65" s="6">
        <f t="shared" si="35"/>
        <v>5.1614307861516002E-5</v>
      </c>
      <c r="S65" s="2"/>
      <c r="T65" s="7"/>
      <c r="U65" s="2"/>
      <c r="V65" s="6">
        <f t="shared" si="36"/>
        <v>0</v>
      </c>
      <c r="W65" s="2"/>
      <c r="X65" s="7">
        <f t="shared" si="37"/>
        <v>1.1000000000000001</v>
      </c>
      <c r="Y65" s="2"/>
      <c r="Z65" s="6">
        <f t="shared" si="38"/>
        <v>0</v>
      </c>
    </row>
    <row r="66" spans="1:26" s="25" customFormat="1" outlineLevel="1" collapsed="1" x14ac:dyDescent="0.25">
      <c r="A66" s="27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0</v>
      </c>
      <c r="E66" s="1"/>
      <c r="F66" s="5">
        <f t="shared" si="31"/>
        <v>0</v>
      </c>
      <c r="G66" s="1"/>
      <c r="H66" s="1">
        <f>SUM(OSRRefH22_4x_0)</f>
        <v>1673</v>
      </c>
      <c r="I66" s="1"/>
      <c r="J66" s="5">
        <f t="shared" si="32"/>
        <v>6.8856237395563236E-2</v>
      </c>
      <c r="K66" s="1"/>
      <c r="L66" s="1">
        <f t="shared" si="33"/>
        <v>-1673</v>
      </c>
      <c r="M66" s="1"/>
      <c r="N66" s="5">
        <f t="shared" si="34"/>
        <v>-1</v>
      </c>
      <c r="O66" s="13"/>
      <c r="P66" s="1">
        <f>SUM(OSRRefP22_4x_0)</f>
        <v>0</v>
      </c>
      <c r="Q66" s="1"/>
      <c r="R66" s="5">
        <f t="shared" si="35"/>
        <v>0</v>
      </c>
      <c r="S66" s="1"/>
      <c r="T66" s="1">
        <f>SUM(OSRRefT22_4x_0)</f>
        <v>8445</v>
      </c>
      <c r="U66" s="1"/>
      <c r="V66" s="5">
        <f t="shared" si="36"/>
        <v>6.4968035265064963E-2</v>
      </c>
      <c r="W66" s="1"/>
      <c r="X66" s="1">
        <f t="shared" si="37"/>
        <v>-8445</v>
      </c>
      <c r="Y66" s="1"/>
      <c r="Z66" s="5">
        <f t="shared" si="38"/>
        <v>-1</v>
      </c>
    </row>
    <row r="67" spans="1:26" s="24" customFormat="1" hidden="1" outlineLevel="2" x14ac:dyDescent="0.25">
      <c r="A67" s="26"/>
      <c r="B67" s="11" t="str">
        <f>CONCATENATE("          ", "6381", " - ", "BANK/CREDIT CARD FEES")</f>
        <v xml:space="preserve">          6381 - BANK/CREDIT CARD FEES</v>
      </c>
      <c r="C67" s="11"/>
      <c r="D67" s="7"/>
      <c r="E67" s="2"/>
      <c r="F67" s="6">
        <f t="shared" si="31"/>
        <v>0</v>
      </c>
      <c r="G67" s="2"/>
      <c r="H67" s="7">
        <v>1673</v>
      </c>
      <c r="I67" s="2"/>
      <c r="J67" s="6">
        <f t="shared" si="32"/>
        <v>6.8856237395563236E-2</v>
      </c>
      <c r="K67" s="2"/>
      <c r="L67" s="7">
        <f t="shared" si="33"/>
        <v>-1673</v>
      </c>
      <c r="M67" s="2"/>
      <c r="N67" s="6">
        <f t="shared" si="34"/>
        <v>-1</v>
      </c>
      <c r="O67" s="11"/>
      <c r="P67" s="7"/>
      <c r="Q67" s="2"/>
      <c r="R67" s="6">
        <f t="shared" si="35"/>
        <v>0</v>
      </c>
      <c r="S67" s="2"/>
      <c r="T67" s="7">
        <v>8445</v>
      </c>
      <c r="U67" s="2"/>
      <c r="V67" s="6">
        <f t="shared" si="36"/>
        <v>6.4968035265064963E-2</v>
      </c>
      <c r="W67" s="2"/>
      <c r="X67" s="7">
        <f t="shared" si="37"/>
        <v>-8445</v>
      </c>
      <c r="Y67" s="2"/>
      <c r="Z67" s="6">
        <f t="shared" si="38"/>
        <v>-1</v>
      </c>
    </row>
    <row r="68" spans="1:26" s="25" customFormat="1" outlineLevel="1" collapsed="1" x14ac:dyDescent="0.25">
      <c r="A68" s="27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SUM(OSRRefD22_5x_0)</f>
        <v>0</v>
      </c>
      <c r="E68" s="1"/>
      <c r="F68" s="5">
        <f t="shared" si="31"/>
        <v>0</v>
      </c>
      <c r="G68" s="1"/>
      <c r="H68" s="1">
        <f>SUM(OSRRefH22_5x_0)</f>
        <v>534</v>
      </c>
      <c r="I68" s="1"/>
      <c r="J68" s="5">
        <f t="shared" si="32"/>
        <v>2.197802197802198E-2</v>
      </c>
      <c r="K68" s="1"/>
      <c r="L68" s="1">
        <f t="shared" si="33"/>
        <v>-534</v>
      </c>
      <c r="M68" s="1"/>
      <c r="N68" s="5">
        <f t="shared" si="34"/>
        <v>-1</v>
      </c>
      <c r="O68" s="13"/>
      <c r="P68" s="1">
        <f>SUM(OSRRefP22_5x_0)</f>
        <v>0</v>
      </c>
      <c r="Q68" s="1"/>
      <c r="R68" s="5">
        <f t="shared" si="35"/>
        <v>0</v>
      </c>
      <c r="S68" s="1"/>
      <c r="T68" s="1">
        <f>SUM(OSRRefT22_5x_0)</f>
        <v>2842</v>
      </c>
      <c r="U68" s="1"/>
      <c r="V68" s="5">
        <f t="shared" si="36"/>
        <v>2.1863724834021863E-2</v>
      </c>
      <c r="W68" s="1"/>
      <c r="X68" s="1">
        <f t="shared" si="37"/>
        <v>-2842</v>
      </c>
      <c r="Y68" s="1"/>
      <c r="Z68" s="5">
        <f t="shared" si="38"/>
        <v>-1</v>
      </c>
    </row>
    <row r="69" spans="1:26" s="24" customFormat="1" hidden="1" outlineLevel="2" x14ac:dyDescent="0.25">
      <c r="A69" s="26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6">
        <f t="shared" si="31"/>
        <v>0</v>
      </c>
      <c r="G69" s="2"/>
      <c r="H69" s="7">
        <v>534</v>
      </c>
      <c r="I69" s="2"/>
      <c r="J69" s="6">
        <f t="shared" si="32"/>
        <v>2.197802197802198E-2</v>
      </c>
      <c r="K69" s="2"/>
      <c r="L69" s="7">
        <f t="shared" si="33"/>
        <v>-534</v>
      </c>
      <c r="M69" s="2"/>
      <c r="N69" s="6">
        <f t="shared" si="34"/>
        <v>-1</v>
      </c>
      <c r="O69" s="11"/>
      <c r="P69" s="7">
        <v>0</v>
      </c>
      <c r="Q69" s="2"/>
      <c r="R69" s="6">
        <f t="shared" si="35"/>
        <v>0</v>
      </c>
      <c r="S69" s="2"/>
      <c r="T69" s="7">
        <v>2842</v>
      </c>
      <c r="U69" s="2"/>
      <c r="V69" s="6">
        <f t="shared" si="36"/>
        <v>2.1863724834021863E-2</v>
      </c>
      <c r="W69" s="2"/>
      <c r="X69" s="7">
        <f t="shared" si="37"/>
        <v>-2842</v>
      </c>
      <c r="Y69" s="2"/>
      <c r="Z69" s="6">
        <f t="shared" si="38"/>
        <v>-1</v>
      </c>
    </row>
    <row r="70" spans="1:26" s="24" customFormat="1" hidden="1" outlineLevel="2" x14ac:dyDescent="0.25">
      <c r="A70" s="26"/>
      <c r="B70" s="11" t="str">
        <f>CONCATENATE("          ", "9175", " - ", "EARNED DISCOUNTS")</f>
        <v xml:space="preserve">          9175 - EARNED DISCOUNTS</v>
      </c>
      <c r="C70" s="11"/>
      <c r="D70" s="7">
        <v>0</v>
      </c>
      <c r="E70" s="2"/>
      <c r="F70" s="6">
        <f t="shared" si="31"/>
        <v>0</v>
      </c>
      <c r="G70" s="2"/>
      <c r="H70" s="7"/>
      <c r="I70" s="2"/>
      <c r="J70" s="6">
        <f t="shared" si="32"/>
        <v>0</v>
      </c>
      <c r="K70" s="2"/>
      <c r="L70" s="7">
        <f t="shared" si="33"/>
        <v>0</v>
      </c>
      <c r="M70" s="2"/>
      <c r="N70" s="6">
        <f t="shared" si="34"/>
        <v>0</v>
      </c>
      <c r="O70" s="11"/>
      <c r="P70" s="7">
        <v>0</v>
      </c>
      <c r="Q70" s="2"/>
      <c r="R70" s="6">
        <f t="shared" si="35"/>
        <v>0</v>
      </c>
      <c r="S70" s="2"/>
      <c r="T70" s="7"/>
      <c r="U70" s="2"/>
      <c r="V70" s="6">
        <f t="shared" si="36"/>
        <v>0</v>
      </c>
      <c r="W70" s="2"/>
      <c r="X70" s="7">
        <f t="shared" si="37"/>
        <v>0</v>
      </c>
      <c r="Y70" s="2"/>
      <c r="Z70" s="6">
        <f t="shared" si="38"/>
        <v>0</v>
      </c>
    </row>
    <row r="71" spans="1:26" s="25" customFormat="1" outlineLevel="1" collapsed="1" x14ac:dyDescent="0.25">
      <c r="A71" s="27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SUM(OSRRefD22_6x_0)</f>
        <v>0</v>
      </c>
      <c r="E71" s="1"/>
      <c r="F71" s="5">
        <f t="shared" ref="F71:F79" si="39">IF(D$12=0,0,D71/D$12)</f>
        <v>0</v>
      </c>
      <c r="G71" s="1"/>
      <c r="H71" s="1">
        <f>SUM(OSRRefH22_6x_0)</f>
        <v>248</v>
      </c>
      <c r="I71" s="1"/>
      <c r="J71" s="5">
        <f t="shared" ref="J71:J79" si="40">IF(H$12=0,0,H71/H$12)</f>
        <v>1.0207021442976499E-2</v>
      </c>
      <c r="K71" s="1"/>
      <c r="L71" s="1">
        <f t="shared" ref="L71:L79" si="41">+D71-H71</f>
        <v>-248</v>
      </c>
      <c r="M71" s="1"/>
      <c r="N71" s="5">
        <f t="shared" ref="N71:N79" si="42">IF(H71=0,0,L71/H71)</f>
        <v>-1</v>
      </c>
      <c r="O71" s="13"/>
      <c r="P71" s="1">
        <f>SUM(OSRRefP22_6x_0)</f>
        <v>0</v>
      </c>
      <c r="Q71" s="1"/>
      <c r="R71" s="5">
        <f t="shared" ref="R71:R79" si="43">IF(P$12=0,0,P71/P$12)</f>
        <v>0</v>
      </c>
      <c r="S71" s="1"/>
      <c r="T71" s="1">
        <f>SUM(OSRRefT22_6x_0)</f>
        <v>2231</v>
      </c>
      <c r="U71" s="1"/>
      <c r="V71" s="5">
        <f t="shared" ref="V71:V79" si="44">IF(T$12=0,0,T71/T$12)</f>
        <v>1.7163254787017163E-2</v>
      </c>
      <c r="W71" s="1"/>
      <c r="X71" s="1">
        <f t="shared" ref="X71:X79" si="45">+P71-T71</f>
        <v>-2231</v>
      </c>
      <c r="Y71" s="1"/>
      <c r="Z71" s="5">
        <f t="shared" ref="Z71:Z79" si="46">IF(T71=0,0,X71/T71)</f>
        <v>-1</v>
      </c>
    </row>
    <row r="72" spans="1:26" s="24" customFormat="1" hidden="1" outlineLevel="2" x14ac:dyDescent="0.25">
      <c r="A72" s="26"/>
      <c r="B72" s="11" t="str">
        <f>CONCATENATE("          ", "6305", " - ", "FREIGHT OUT")</f>
        <v xml:space="preserve">          6305 - FREIGHT OUT</v>
      </c>
      <c r="C72" s="11"/>
      <c r="D72" s="7"/>
      <c r="E72" s="2"/>
      <c r="F72" s="6">
        <f t="shared" si="39"/>
        <v>0</v>
      </c>
      <c r="G72" s="2"/>
      <c r="H72" s="7">
        <v>248</v>
      </c>
      <c r="I72" s="2"/>
      <c r="J72" s="6">
        <f t="shared" si="40"/>
        <v>1.0207021442976499E-2</v>
      </c>
      <c r="K72" s="2"/>
      <c r="L72" s="7">
        <f t="shared" si="41"/>
        <v>-248</v>
      </c>
      <c r="M72" s="2"/>
      <c r="N72" s="6">
        <f t="shared" si="42"/>
        <v>-1</v>
      </c>
      <c r="O72" s="11"/>
      <c r="P72" s="7">
        <v>0</v>
      </c>
      <c r="Q72" s="2"/>
      <c r="R72" s="6">
        <f t="shared" si="43"/>
        <v>0</v>
      </c>
      <c r="S72" s="2"/>
      <c r="T72" s="7">
        <v>2231</v>
      </c>
      <c r="U72" s="2"/>
      <c r="V72" s="6">
        <f t="shared" si="44"/>
        <v>1.7163254787017163E-2</v>
      </c>
      <c r="W72" s="2"/>
      <c r="X72" s="7">
        <f t="shared" si="45"/>
        <v>-2231</v>
      </c>
      <c r="Y72" s="2"/>
      <c r="Z72" s="6">
        <f t="shared" si="46"/>
        <v>-1</v>
      </c>
    </row>
    <row r="73" spans="1:26" s="25" customFormat="1" outlineLevel="1" collapsed="1" x14ac:dyDescent="0.25">
      <c r="A73" s="27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SUM(OSRRefD22_7x_0)</f>
        <v>0</v>
      </c>
      <c r="E73" s="1"/>
      <c r="F73" s="5">
        <f t="shared" si="39"/>
        <v>0</v>
      </c>
      <c r="G73" s="1"/>
      <c r="H73" s="1">
        <f>SUM(OSRRefH22_7x_0)</f>
        <v>0</v>
      </c>
      <c r="I73" s="1"/>
      <c r="J73" s="5">
        <f t="shared" si="40"/>
        <v>0</v>
      </c>
      <c r="K73" s="1"/>
      <c r="L73" s="1">
        <f t="shared" si="41"/>
        <v>0</v>
      </c>
      <c r="M73" s="1"/>
      <c r="N73" s="5">
        <f t="shared" si="42"/>
        <v>0</v>
      </c>
      <c r="O73" s="13"/>
      <c r="P73" s="1">
        <f>SUM(OSRRefP22_7x_0)</f>
        <v>879.55</v>
      </c>
      <c r="Q73" s="1"/>
      <c r="R73" s="5">
        <f t="shared" si="43"/>
        <v>4.1270331345087632E-2</v>
      </c>
      <c r="S73" s="1"/>
      <c r="T73" s="1">
        <f>SUM(OSRRefT22_7x_0)</f>
        <v>1000</v>
      </c>
      <c r="U73" s="1"/>
      <c r="V73" s="5">
        <f t="shared" si="44"/>
        <v>7.6930770000076931E-3</v>
      </c>
      <c r="W73" s="1"/>
      <c r="X73" s="1">
        <f t="shared" si="45"/>
        <v>-120.45000000000005</v>
      </c>
      <c r="Y73" s="1"/>
      <c r="Z73" s="5">
        <f t="shared" si="46"/>
        <v>-0.12045000000000004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879.55</v>
      </c>
      <c r="Q74" s="2"/>
      <c r="R74" s="6">
        <f t="shared" si="43"/>
        <v>4.1270331345087632E-2</v>
      </c>
      <c r="S74" s="2"/>
      <c r="T74" s="7">
        <v>1000</v>
      </c>
      <c r="U74" s="2"/>
      <c r="V74" s="6">
        <f t="shared" si="44"/>
        <v>7.6930770000076931E-3</v>
      </c>
      <c r="W74" s="2"/>
      <c r="X74" s="7">
        <f t="shared" si="45"/>
        <v>-120.45000000000005</v>
      </c>
      <c r="Y74" s="2"/>
      <c r="Z74" s="6">
        <f t="shared" si="46"/>
        <v>-0.12045000000000004</v>
      </c>
    </row>
    <row r="75" spans="1:26" s="25" customFormat="1" outlineLevel="1" collapsed="1" x14ac:dyDescent="0.25">
      <c r="A75" s="27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SUM(OSRRefD22_8x_0)</f>
        <v>0</v>
      </c>
      <c r="E75" s="1"/>
      <c r="F75" s="5">
        <f t="shared" si="39"/>
        <v>0</v>
      </c>
      <c r="G75" s="1"/>
      <c r="H75" s="1">
        <f>SUM(OSRRefH22_8x_0)</f>
        <v>0</v>
      </c>
      <c r="I75" s="1"/>
      <c r="J75" s="5">
        <f t="shared" si="40"/>
        <v>0</v>
      </c>
      <c r="K75" s="1"/>
      <c r="L75" s="1">
        <f t="shared" si="41"/>
        <v>0</v>
      </c>
      <c r="M75" s="1"/>
      <c r="N75" s="5">
        <f t="shared" si="42"/>
        <v>0</v>
      </c>
      <c r="O75" s="13"/>
      <c r="P75" s="1">
        <f>SUM(OSRRefP22_8x_0)</f>
        <v>0</v>
      </c>
      <c r="Q75" s="1"/>
      <c r="R75" s="5">
        <f t="shared" si="43"/>
        <v>0</v>
      </c>
      <c r="S75" s="1"/>
      <c r="T75" s="1">
        <f>SUM(OSRRefT22_8x_0)</f>
        <v>800</v>
      </c>
      <c r="U75" s="1"/>
      <c r="V75" s="5">
        <f t="shared" si="44"/>
        <v>6.1544616000061541E-3</v>
      </c>
      <c r="W75" s="1"/>
      <c r="X75" s="1">
        <f t="shared" si="45"/>
        <v>-800</v>
      </c>
      <c r="Y75" s="1"/>
      <c r="Z75" s="5">
        <f t="shared" si="46"/>
        <v>-1</v>
      </c>
    </row>
    <row r="76" spans="1:26" s="24" customFormat="1" hidden="1" outlineLevel="2" x14ac:dyDescent="0.25">
      <c r="A76" s="26"/>
      <c r="B76" s="11" t="str">
        <f>CONCATENATE("          ", "6336", " - ", "PROFESSIONAL SERVICES")</f>
        <v xml:space="preserve">          6336 - PROFESSIONAL SERVICES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800</v>
      </c>
      <c r="U76" s="2"/>
      <c r="V76" s="6">
        <f t="shared" si="44"/>
        <v>6.1544616000061541E-3</v>
      </c>
      <c r="W76" s="2"/>
      <c r="X76" s="7">
        <f t="shared" si="45"/>
        <v>-800</v>
      </c>
      <c r="Y76" s="2"/>
      <c r="Z76" s="6">
        <f t="shared" si="46"/>
        <v>-1</v>
      </c>
    </row>
    <row r="77" spans="1:26" s="25" customFormat="1" outlineLevel="1" collapsed="1" x14ac:dyDescent="0.25">
      <c r="A77" s="27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SUM(OSRRefD22_9x_0)</f>
        <v>61.11</v>
      </c>
      <c r="E77" s="1"/>
      <c r="F77" s="5">
        <f t="shared" si="39"/>
        <v>0</v>
      </c>
      <c r="G77" s="1"/>
      <c r="H77" s="1">
        <f>SUM(OSRRefH22_9x_0)</f>
        <v>100</v>
      </c>
      <c r="I77" s="1"/>
      <c r="J77" s="5">
        <f t="shared" si="40"/>
        <v>4.1157344528131041E-3</v>
      </c>
      <c r="K77" s="1"/>
      <c r="L77" s="1">
        <f t="shared" si="41"/>
        <v>-38.89</v>
      </c>
      <c r="M77" s="1"/>
      <c r="N77" s="5">
        <f t="shared" si="42"/>
        <v>-0.38890000000000002</v>
      </c>
      <c r="O77" s="13"/>
      <c r="P77" s="1">
        <f>SUM(OSRRefP22_9x_0)</f>
        <v>261.93</v>
      </c>
      <c r="Q77" s="1"/>
      <c r="R77" s="5">
        <f t="shared" si="43"/>
        <v>1.2290305143788078E-2</v>
      </c>
      <c r="S77" s="1"/>
      <c r="T77" s="1">
        <f>SUM(OSRRefT22_9x_0)</f>
        <v>900</v>
      </c>
      <c r="U77" s="1"/>
      <c r="V77" s="5">
        <f t="shared" si="44"/>
        <v>6.9237693000069236E-3</v>
      </c>
      <c r="W77" s="1"/>
      <c r="X77" s="1">
        <f t="shared" si="45"/>
        <v>-638.06999999999994</v>
      </c>
      <c r="Y77" s="1"/>
      <c r="Z77" s="5">
        <f t="shared" si="46"/>
        <v>-0.70896666666666663</v>
      </c>
    </row>
    <row r="78" spans="1:26" s="24" customFormat="1" hidden="1" outlineLevel="2" x14ac:dyDescent="0.25">
      <c r="A78" s="26"/>
      <c r="B78" s="11" t="str">
        <f>CONCATENATE("          ", "6373", " - ", "MAINTENANCE CONTRACTS")</f>
        <v xml:space="preserve">          6373 - MAINTENANCE CONTRACTS</v>
      </c>
      <c r="C78" s="11"/>
      <c r="D78" s="7">
        <v>61.11</v>
      </c>
      <c r="E78" s="2"/>
      <c r="F78" s="6">
        <f t="shared" si="39"/>
        <v>0</v>
      </c>
      <c r="G78" s="2"/>
      <c r="H78" s="7"/>
      <c r="I78" s="2"/>
      <c r="J78" s="6">
        <f t="shared" si="40"/>
        <v>0</v>
      </c>
      <c r="K78" s="2"/>
      <c r="L78" s="7">
        <f t="shared" si="41"/>
        <v>61.11</v>
      </c>
      <c r="M78" s="2"/>
      <c r="N78" s="6">
        <f t="shared" si="42"/>
        <v>0</v>
      </c>
      <c r="O78" s="11"/>
      <c r="P78" s="7">
        <v>261.93</v>
      </c>
      <c r="Q78" s="2"/>
      <c r="R78" s="6">
        <f t="shared" si="43"/>
        <v>1.2290305143788078E-2</v>
      </c>
      <c r="S78" s="2"/>
      <c r="T78" s="7"/>
      <c r="U78" s="2"/>
      <c r="V78" s="6">
        <f t="shared" si="44"/>
        <v>0</v>
      </c>
      <c r="W78" s="2"/>
      <c r="X78" s="7">
        <f t="shared" si="45"/>
        <v>261.93</v>
      </c>
      <c r="Y78" s="2"/>
      <c r="Z78" s="6">
        <f t="shared" si="46"/>
        <v>0</v>
      </c>
    </row>
    <row r="79" spans="1:26" s="24" customFormat="1" hidden="1" outlineLevel="2" x14ac:dyDescent="0.25">
      <c r="A79" s="26"/>
      <c r="B79" s="11" t="str">
        <f>CONCATENATE("          ", "6375", " - ", "OUTSIDE REPAIRS &amp; MAINTENANCE")</f>
        <v xml:space="preserve">          6375 - OUTSIDE REPAIRS &amp; MAINTENANCE</v>
      </c>
      <c r="C79" s="11"/>
      <c r="D79" s="7"/>
      <c r="E79" s="2"/>
      <c r="F79" s="6">
        <f t="shared" si="39"/>
        <v>0</v>
      </c>
      <c r="G79" s="2"/>
      <c r="H79" s="7">
        <v>100</v>
      </c>
      <c r="I79" s="2"/>
      <c r="J79" s="6">
        <f t="shared" si="40"/>
        <v>4.1157344528131041E-3</v>
      </c>
      <c r="K79" s="2"/>
      <c r="L79" s="7">
        <f t="shared" si="41"/>
        <v>-100</v>
      </c>
      <c r="M79" s="2"/>
      <c r="N79" s="6">
        <f t="shared" si="42"/>
        <v>-1</v>
      </c>
      <c r="O79" s="11"/>
      <c r="P79" s="7"/>
      <c r="Q79" s="2"/>
      <c r="R79" s="6">
        <f t="shared" si="43"/>
        <v>0</v>
      </c>
      <c r="S79" s="2"/>
      <c r="T79" s="7">
        <v>900</v>
      </c>
      <c r="U79" s="2"/>
      <c r="V79" s="6">
        <f t="shared" si="44"/>
        <v>6.9237693000069236E-3</v>
      </c>
      <c r="W79" s="2"/>
      <c r="X79" s="7">
        <f t="shared" si="45"/>
        <v>-900</v>
      </c>
      <c r="Y79" s="2"/>
      <c r="Z79" s="6">
        <f t="shared" si="46"/>
        <v>-1</v>
      </c>
    </row>
    <row r="80" spans="1:26" s="25" customFormat="1" outlineLevel="1" collapsed="1" x14ac:dyDescent="0.25">
      <c r="A80" s="27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SUM(OSRRefD22_10x_0)</f>
        <v>0</v>
      </c>
      <c r="E80" s="1"/>
      <c r="F80" s="5">
        <f t="shared" ref="F80:F82" si="47">IF(D$12=0,0,D80/D$12)</f>
        <v>0</v>
      </c>
      <c r="G80" s="1"/>
      <c r="H80" s="1">
        <f>SUM(OSRRefH22_10x_0)</f>
        <v>274</v>
      </c>
      <c r="I80" s="1"/>
      <c r="J80" s="5">
        <f t="shared" ref="J80:J82" si="48">IF(H$12=0,0,H80/H$12)</f>
        <v>1.1277112400707907E-2</v>
      </c>
      <c r="K80" s="1"/>
      <c r="L80" s="1">
        <f t="shared" ref="L80:L82" si="49">+D80-H80</f>
        <v>-274</v>
      </c>
      <c r="M80" s="1"/>
      <c r="N80" s="5">
        <f t="shared" ref="N80:N82" si="50">IF(H80=0,0,L80/H80)</f>
        <v>-1</v>
      </c>
      <c r="O80" s="13"/>
      <c r="P80" s="1">
        <f>SUM(OSRRefP22_10x_0)</f>
        <v>18.5</v>
      </c>
      <c r="Q80" s="1"/>
      <c r="R80" s="5">
        <f t="shared" ref="R80:R82" si="51">IF(P$12=0,0,P80/P$12)</f>
        <v>8.6805881403458724E-4</v>
      </c>
      <c r="S80" s="1"/>
      <c r="T80" s="1">
        <f>SUM(OSRRefT22_10x_0)</f>
        <v>2192</v>
      </c>
      <c r="U80" s="1"/>
      <c r="V80" s="5">
        <f t="shared" ref="V80:V82" si="52">IF(T$12=0,0,T80/T$12)</f>
        <v>1.6863224784016865E-2</v>
      </c>
      <c r="W80" s="1"/>
      <c r="X80" s="1">
        <f t="shared" ref="X80:X82" si="53">+P80-T80</f>
        <v>-2173.5</v>
      </c>
      <c r="Y80" s="1"/>
      <c r="Z80" s="5">
        <f t="shared" ref="Z80:Z82" si="54">IF(T80=0,0,X80/T80)</f>
        <v>-0.9915602189781022</v>
      </c>
    </row>
    <row r="81" spans="1:26" s="24" customFormat="1" hidden="1" outlineLevel="2" x14ac:dyDescent="0.25">
      <c r="A81" s="26"/>
      <c r="B81" s="11" t="str">
        <f>CONCATENATE("          ", "6282", " - ", "JANITORIAL/EXTERMINATOR EXPENS")</f>
        <v xml:space="preserve">          6282 - JANITORIAL/EXTERMINATOR EXPENS</v>
      </c>
      <c r="C81" s="11"/>
      <c r="D81" s="7"/>
      <c r="E81" s="2"/>
      <c r="F81" s="6">
        <f t="shared" si="47"/>
        <v>0</v>
      </c>
      <c r="G81" s="2"/>
      <c r="H81" s="7"/>
      <c r="I81" s="2"/>
      <c r="J81" s="6">
        <f t="shared" si="48"/>
        <v>0</v>
      </c>
      <c r="K81" s="2"/>
      <c r="L81" s="7">
        <f t="shared" si="49"/>
        <v>0</v>
      </c>
      <c r="M81" s="2"/>
      <c r="N81" s="6">
        <f t="shared" si="50"/>
        <v>0</v>
      </c>
      <c r="O81" s="11"/>
      <c r="P81" s="7">
        <v>176</v>
      </c>
      <c r="Q81" s="2"/>
      <c r="R81" s="6">
        <f t="shared" si="51"/>
        <v>8.2582892578425601E-3</v>
      </c>
      <c r="S81" s="2"/>
      <c r="T81" s="7"/>
      <c r="U81" s="2"/>
      <c r="V81" s="6">
        <f t="shared" si="52"/>
        <v>0</v>
      </c>
      <c r="W81" s="2"/>
      <c r="X81" s="7">
        <f t="shared" si="53"/>
        <v>176</v>
      </c>
      <c r="Y81" s="2"/>
      <c r="Z81" s="6">
        <f t="shared" si="54"/>
        <v>0</v>
      </c>
    </row>
    <row r="82" spans="1:26" s="24" customFormat="1" hidden="1" outlineLevel="2" x14ac:dyDescent="0.25">
      <c r="A82" s="26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47"/>
        <v>0</v>
      </c>
      <c r="G82" s="2"/>
      <c r="H82" s="7">
        <v>274</v>
      </c>
      <c r="I82" s="2"/>
      <c r="J82" s="6">
        <f t="shared" si="48"/>
        <v>1.1277112400707907E-2</v>
      </c>
      <c r="K82" s="2"/>
      <c r="L82" s="7">
        <f t="shared" si="49"/>
        <v>-274</v>
      </c>
      <c r="M82" s="2"/>
      <c r="N82" s="6">
        <f t="shared" si="50"/>
        <v>-1</v>
      </c>
      <c r="O82" s="11"/>
      <c r="P82" s="7">
        <v>-157.5</v>
      </c>
      <c r="Q82" s="2"/>
      <c r="R82" s="6">
        <f t="shared" si="51"/>
        <v>-7.3902304438079732E-3</v>
      </c>
      <c r="S82" s="2"/>
      <c r="T82" s="7">
        <v>2192</v>
      </c>
      <c r="U82" s="2"/>
      <c r="V82" s="6">
        <f t="shared" si="52"/>
        <v>1.6863224784016865E-2</v>
      </c>
      <c r="W82" s="2"/>
      <c r="X82" s="7">
        <f t="shared" si="53"/>
        <v>-2349.5</v>
      </c>
      <c r="Y82" s="2"/>
      <c r="Z82" s="6">
        <f t="shared" si="54"/>
        <v>-1.0718521897810218</v>
      </c>
    </row>
    <row r="83" spans="1:26" s="25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SUM(OSRRefD22_11x_0)</f>
        <v>0</v>
      </c>
      <c r="E83" s="1"/>
      <c r="F83" s="5">
        <f t="shared" ref="F83:F87" si="55">IF(D$12=0,0,D83/D$12)</f>
        <v>0</v>
      </c>
      <c r="G83" s="1"/>
      <c r="H83" s="1">
        <f>SUM(OSRRefH22_11x_0)</f>
        <v>300</v>
      </c>
      <c r="I83" s="1"/>
      <c r="J83" s="5">
        <f t="shared" ref="J83:J87" si="56">IF(H$12=0,0,H83/H$12)</f>
        <v>1.2347203358439314E-2</v>
      </c>
      <c r="K83" s="1"/>
      <c r="L83" s="1">
        <f t="shared" ref="L83:L87" si="57">+D83-H83</f>
        <v>-300</v>
      </c>
      <c r="M83" s="1"/>
      <c r="N83" s="5">
        <f t="shared" ref="N83:N87" si="58">IF(H83=0,0,L83/H83)</f>
        <v>-1</v>
      </c>
      <c r="O83" s="13"/>
      <c r="P83" s="1">
        <f>SUM(OSRRefP22_11x_0)</f>
        <v>1892.27</v>
      </c>
      <c r="Q83" s="1"/>
      <c r="R83" s="5">
        <f t="shared" ref="R83:R87" si="59">IF(P$12=0,0,P83/P$12)</f>
        <v>8.8789278488282622E-2</v>
      </c>
      <c r="S83" s="1"/>
      <c r="T83" s="1">
        <f>SUM(OSRRefT22_11x_0)</f>
        <v>2600</v>
      </c>
      <c r="U83" s="1"/>
      <c r="V83" s="5">
        <f t="shared" ref="V83:V87" si="60">IF(T$12=0,0,T83/T$12)</f>
        <v>2.0002000200020003E-2</v>
      </c>
      <c r="W83" s="1"/>
      <c r="X83" s="1">
        <f t="shared" ref="X83:X87" si="61">+P83-T83</f>
        <v>-707.73</v>
      </c>
      <c r="Y83" s="1"/>
      <c r="Z83" s="5">
        <f t="shared" ref="Z83:Z87" si="62">IF(T83=0,0,X83/T83)</f>
        <v>-0.27220384615384619</v>
      </c>
    </row>
    <row r="84" spans="1:26" s="24" customFormat="1" hidden="1" outlineLevel="2" x14ac:dyDescent="0.25">
      <c r="A84" s="26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55"/>
        <v>0</v>
      </c>
      <c r="G84" s="2"/>
      <c r="H84" s="7">
        <v>200</v>
      </c>
      <c r="I84" s="2"/>
      <c r="J84" s="6">
        <f t="shared" si="56"/>
        <v>8.2314689056262082E-3</v>
      </c>
      <c r="K84" s="2"/>
      <c r="L84" s="7">
        <f t="shared" si="57"/>
        <v>-200</v>
      </c>
      <c r="M84" s="2"/>
      <c r="N84" s="6">
        <f t="shared" si="58"/>
        <v>-1</v>
      </c>
      <c r="O84" s="11"/>
      <c r="P84" s="7">
        <v>444.3</v>
      </c>
      <c r="Q84" s="2"/>
      <c r="R84" s="6">
        <f t="shared" si="59"/>
        <v>2.0847488166246871E-2</v>
      </c>
      <c r="S84" s="2"/>
      <c r="T84" s="7">
        <v>1600</v>
      </c>
      <c r="U84" s="2"/>
      <c r="V84" s="6">
        <f t="shared" si="60"/>
        <v>1.2308923200012308E-2</v>
      </c>
      <c r="W84" s="2"/>
      <c r="X84" s="7">
        <f t="shared" si="61"/>
        <v>-1155.7</v>
      </c>
      <c r="Y84" s="2"/>
      <c r="Z84" s="6">
        <f t="shared" si="62"/>
        <v>-0.72231250000000002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7"/>
      <c r="E85" s="2"/>
      <c r="F85" s="6">
        <f t="shared" si="55"/>
        <v>0</v>
      </c>
      <c r="G85" s="2"/>
      <c r="H85" s="7"/>
      <c r="I85" s="2"/>
      <c r="J85" s="6">
        <f t="shared" si="56"/>
        <v>0</v>
      </c>
      <c r="K85" s="2"/>
      <c r="L85" s="7">
        <f t="shared" si="57"/>
        <v>0</v>
      </c>
      <c r="M85" s="2"/>
      <c r="N85" s="6">
        <f t="shared" si="58"/>
        <v>0</v>
      </c>
      <c r="O85" s="11"/>
      <c r="P85" s="7">
        <v>225.24</v>
      </c>
      <c r="Q85" s="2"/>
      <c r="R85" s="6">
        <f t="shared" si="59"/>
        <v>1.056873336611624E-2</v>
      </c>
      <c r="S85" s="2"/>
      <c r="T85" s="7"/>
      <c r="U85" s="2"/>
      <c r="V85" s="6">
        <f t="shared" si="60"/>
        <v>0</v>
      </c>
      <c r="W85" s="2"/>
      <c r="X85" s="7">
        <f t="shared" si="61"/>
        <v>225.24</v>
      </c>
      <c r="Y85" s="2"/>
      <c r="Z85" s="6">
        <f t="shared" si="62"/>
        <v>0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55"/>
        <v>0</v>
      </c>
      <c r="G86" s="2"/>
      <c r="H86" s="7">
        <v>100</v>
      </c>
      <c r="I86" s="2"/>
      <c r="J86" s="6">
        <f t="shared" si="56"/>
        <v>4.1157344528131041E-3</v>
      </c>
      <c r="K86" s="2"/>
      <c r="L86" s="7">
        <f t="shared" si="57"/>
        <v>-100</v>
      </c>
      <c r="M86" s="2"/>
      <c r="N86" s="6">
        <f t="shared" si="58"/>
        <v>-1</v>
      </c>
      <c r="O86" s="11"/>
      <c r="P86" s="7">
        <v>1222.73</v>
      </c>
      <c r="Q86" s="2"/>
      <c r="R86" s="6">
        <f t="shared" si="59"/>
        <v>5.7373056955919509E-2</v>
      </c>
      <c r="S86" s="2"/>
      <c r="T86" s="7">
        <v>800</v>
      </c>
      <c r="U86" s="2"/>
      <c r="V86" s="6">
        <f t="shared" si="60"/>
        <v>6.1544616000061541E-3</v>
      </c>
      <c r="W86" s="2"/>
      <c r="X86" s="7">
        <f t="shared" si="61"/>
        <v>422.73</v>
      </c>
      <c r="Y86" s="2"/>
      <c r="Z86" s="6">
        <f t="shared" si="62"/>
        <v>0.52841250000000006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55"/>
        <v>0</v>
      </c>
      <c r="G87" s="2"/>
      <c r="H87" s="7"/>
      <c r="I87" s="2"/>
      <c r="J87" s="6">
        <f t="shared" si="56"/>
        <v>0</v>
      </c>
      <c r="K87" s="2"/>
      <c r="L87" s="7">
        <f t="shared" si="57"/>
        <v>0</v>
      </c>
      <c r="M87" s="2"/>
      <c r="N87" s="6">
        <f t="shared" si="58"/>
        <v>0</v>
      </c>
      <c r="O87" s="11"/>
      <c r="P87" s="7"/>
      <c r="Q87" s="2"/>
      <c r="R87" s="6">
        <f t="shared" si="59"/>
        <v>0</v>
      </c>
      <c r="S87" s="2"/>
      <c r="T87" s="7">
        <v>200</v>
      </c>
      <c r="U87" s="2"/>
      <c r="V87" s="6">
        <f t="shared" si="60"/>
        <v>1.5386154000015385E-3</v>
      </c>
      <c r="W87" s="2"/>
      <c r="X87" s="7">
        <f t="shared" si="61"/>
        <v>-200</v>
      </c>
      <c r="Y87" s="2"/>
      <c r="Z87" s="6">
        <f t="shared" si="62"/>
        <v>-1</v>
      </c>
    </row>
    <row r="88" spans="1:26" s="25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SUM(OSRRefD22_12x_0)</f>
        <v>53</v>
      </c>
      <c r="E88" s="1"/>
      <c r="F88" s="5">
        <f t="shared" ref="F88:F90" si="63">IF(D$12=0,0,D88/D$12)</f>
        <v>0</v>
      </c>
      <c r="G88" s="1"/>
      <c r="H88" s="1">
        <f>SUM(OSRRefH22_12x_0)</f>
        <v>100</v>
      </c>
      <c r="I88" s="1"/>
      <c r="J88" s="5">
        <f t="shared" ref="J88:J90" si="64">IF(H$12=0,0,H88/H$12)</f>
        <v>4.1157344528131041E-3</v>
      </c>
      <c r="K88" s="1"/>
      <c r="L88" s="1">
        <f t="shared" ref="L88:L90" si="65">+D88-H88</f>
        <v>-47</v>
      </c>
      <c r="M88" s="1"/>
      <c r="N88" s="5">
        <f t="shared" ref="N88:N90" si="66">IF(H88=0,0,L88/H88)</f>
        <v>-0.47</v>
      </c>
      <c r="O88" s="13"/>
      <c r="P88" s="1">
        <f>SUM(OSRRefP22_12x_0)</f>
        <v>525.04999999999995</v>
      </c>
      <c r="Q88" s="1"/>
      <c r="R88" s="5">
        <f t="shared" ref="R88:R90" si="67">IF(P$12=0,0,P88/P$12)</f>
        <v>2.4636447584262703E-2</v>
      </c>
      <c r="S88" s="1"/>
      <c r="T88" s="1">
        <f>SUM(OSRRefT22_12x_0)</f>
        <v>900</v>
      </c>
      <c r="U88" s="1"/>
      <c r="V88" s="5">
        <f t="shared" ref="V88:V90" si="68">IF(T$12=0,0,T88/T$12)</f>
        <v>6.9237693000069236E-3</v>
      </c>
      <c r="W88" s="1"/>
      <c r="X88" s="1">
        <f t="shared" ref="X88:X90" si="69">+P88-T88</f>
        <v>-374.95000000000005</v>
      </c>
      <c r="Y88" s="1"/>
      <c r="Z88" s="5">
        <f t="shared" ref="Z88:Z90" si="70">IF(T88=0,0,X88/T88)</f>
        <v>-0.41661111111111115</v>
      </c>
    </row>
    <row r="89" spans="1:26" s="24" customFormat="1" hidden="1" outlineLevel="2" x14ac:dyDescent="0.25">
      <c r="A89" s="26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63"/>
        <v>0</v>
      </c>
      <c r="G89" s="2"/>
      <c r="H89" s="7">
        <v>100</v>
      </c>
      <c r="I89" s="2"/>
      <c r="J89" s="6">
        <f t="shared" si="64"/>
        <v>4.1157344528131041E-3</v>
      </c>
      <c r="K89" s="2"/>
      <c r="L89" s="7">
        <f t="shared" si="65"/>
        <v>-100</v>
      </c>
      <c r="M89" s="2"/>
      <c r="N89" s="6">
        <f t="shared" si="66"/>
        <v>-1</v>
      </c>
      <c r="O89" s="11"/>
      <c r="P89" s="7"/>
      <c r="Q89" s="2"/>
      <c r="R89" s="6">
        <f t="shared" si="67"/>
        <v>0</v>
      </c>
      <c r="S89" s="2"/>
      <c r="T89" s="7">
        <v>900</v>
      </c>
      <c r="U89" s="2"/>
      <c r="V89" s="6">
        <f t="shared" si="68"/>
        <v>6.9237693000069236E-3</v>
      </c>
      <c r="W89" s="2"/>
      <c r="X89" s="7">
        <f t="shared" si="69"/>
        <v>-900</v>
      </c>
      <c r="Y89" s="2"/>
      <c r="Z89" s="6">
        <f t="shared" si="70"/>
        <v>-1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53</v>
      </c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53</v>
      </c>
      <c r="M90" s="2"/>
      <c r="N90" s="6">
        <f t="shared" si="66"/>
        <v>0</v>
      </c>
      <c r="O90" s="11"/>
      <c r="P90" s="7">
        <v>525.04999999999995</v>
      </c>
      <c r="Q90" s="2"/>
      <c r="R90" s="6">
        <f t="shared" si="67"/>
        <v>2.4636447584262703E-2</v>
      </c>
      <c r="S90" s="2"/>
      <c r="T90" s="7"/>
      <c r="U90" s="2"/>
      <c r="V90" s="6">
        <f t="shared" si="68"/>
        <v>0</v>
      </c>
      <c r="W90" s="2"/>
      <c r="X90" s="7">
        <f t="shared" si="69"/>
        <v>525.04999999999995</v>
      </c>
      <c r="Y90" s="2"/>
      <c r="Z90" s="6">
        <f t="shared" si="70"/>
        <v>0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SUM(OSRRefD22_13x_0)</f>
        <v>0</v>
      </c>
      <c r="E91" s="1"/>
      <c r="F91" s="5">
        <f t="shared" ref="F91:F92" si="71">IF(D$12=0,0,D91/D$12)</f>
        <v>0</v>
      </c>
      <c r="G91" s="1"/>
      <c r="H91" s="1">
        <f>SUM(OSRRefH22_13x_0)</f>
        <v>0</v>
      </c>
      <c r="I91" s="1"/>
      <c r="J91" s="5">
        <f t="shared" ref="J91:J92" si="72">IF(H$12=0,0,H91/H$12)</f>
        <v>0</v>
      </c>
      <c r="K91" s="1"/>
      <c r="L91" s="1">
        <f t="shared" ref="L91:L92" si="73">+D91-H91</f>
        <v>0</v>
      </c>
      <c r="M91" s="1"/>
      <c r="N91" s="5">
        <f t="shared" ref="N91:N92" si="74">IF(H91=0,0,L91/H91)</f>
        <v>0</v>
      </c>
      <c r="O91" s="13"/>
      <c r="P91" s="1">
        <f>SUM(OSRRefP22_13x_0)</f>
        <v>14</v>
      </c>
      <c r="Q91" s="1"/>
      <c r="R91" s="5">
        <f t="shared" ref="R91:R92" si="75">IF(P$12=0,0,P91/P$12)</f>
        <v>6.5690937278293094E-4</v>
      </c>
      <c r="S91" s="1"/>
      <c r="T91" s="1">
        <f>SUM(OSRRefT22_13x_0)</f>
        <v>120</v>
      </c>
      <c r="U91" s="1"/>
      <c r="V91" s="5">
        <f t="shared" ref="V91:V92" si="76">IF(T$12=0,0,T91/T$12)</f>
        <v>9.2316924000092316E-4</v>
      </c>
      <c r="W91" s="1"/>
      <c r="X91" s="1">
        <f t="shared" ref="X91:X92" si="77">+P91-T91</f>
        <v>-106</v>
      </c>
      <c r="Y91" s="1"/>
      <c r="Z91" s="5">
        <f t="shared" ref="Z91:Z92" si="78">IF(T91=0,0,X91/T91)</f>
        <v>-0.8833333333333333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71"/>
        <v>0</v>
      </c>
      <c r="G92" s="2"/>
      <c r="H92" s="7"/>
      <c r="I92" s="2"/>
      <c r="J92" s="6">
        <f t="shared" si="72"/>
        <v>0</v>
      </c>
      <c r="K92" s="2"/>
      <c r="L92" s="7">
        <f t="shared" si="73"/>
        <v>0</v>
      </c>
      <c r="M92" s="2"/>
      <c r="N92" s="6">
        <f t="shared" si="74"/>
        <v>0</v>
      </c>
      <c r="O92" s="11"/>
      <c r="P92" s="7">
        <v>14</v>
      </c>
      <c r="Q92" s="2"/>
      <c r="R92" s="6">
        <f t="shared" si="75"/>
        <v>6.5690937278293094E-4</v>
      </c>
      <c r="S92" s="2"/>
      <c r="T92" s="7">
        <v>120</v>
      </c>
      <c r="U92" s="2"/>
      <c r="V92" s="6">
        <f t="shared" si="76"/>
        <v>9.2316924000092316E-4</v>
      </c>
      <c r="W92" s="2"/>
      <c r="X92" s="7">
        <f t="shared" si="77"/>
        <v>-106</v>
      </c>
      <c r="Y92" s="2"/>
      <c r="Z92" s="6">
        <f t="shared" si="78"/>
        <v>-0.8833333333333333</v>
      </c>
    </row>
    <row r="93" spans="1:26" s="59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293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277</v>
      </c>
      <c r="C96" s="29"/>
      <c r="D96" s="20">
        <f>+D38-D40+D94</f>
        <v>-144.59</v>
      </c>
      <c r="E96" s="14"/>
      <c r="F96" s="21">
        <f>IF(D$12=0,0,D96/D$12)</f>
        <v>0</v>
      </c>
      <c r="G96" s="14"/>
      <c r="H96" s="20">
        <f>+H38-H40+H94</f>
        <v>-3608.0238099999988</v>
      </c>
      <c r="I96" s="14"/>
      <c r="J96" s="21">
        <f>IF(H$12=0,0,H96/H$12)</f>
        <v>-0.14849667901386998</v>
      </c>
      <c r="K96" s="16"/>
      <c r="L96" s="20">
        <f>+D96-H96</f>
        <v>3463.4338099999986</v>
      </c>
      <c r="M96" s="16"/>
      <c r="N96" s="21">
        <f>IF(H96=0,0,L96/H96)</f>
        <v>-0.95992543075817449</v>
      </c>
      <c r="O96" s="28"/>
      <c r="P96" s="20">
        <f>+P38-P40+P94</f>
        <v>-5109.4399999999932</v>
      </c>
      <c r="Q96" s="14"/>
      <c r="R96" s="21">
        <f>IF(P$12=0,0,P96/P$12)</f>
        <v>-0.23974564469085816</v>
      </c>
      <c r="S96" s="14"/>
      <c r="T96" s="20">
        <f>+T38-T40+T94</f>
        <v>-48959.74736400001</v>
      </c>
      <c r="U96" s="14"/>
      <c r="V96" s="21">
        <f>IF(T$12=0,0,T96/T$12)</f>
        <v>-0.37665110637217575</v>
      </c>
      <c r="W96" s="16"/>
      <c r="X96" s="20">
        <f>+P96-T96</f>
        <v>43850.307364000015</v>
      </c>
      <c r="Y96" s="16"/>
      <c r="Z96" s="21">
        <f>IF(T96=0,0,X96/T96)</f>
        <v>-0.89563998437302084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128</v>
      </c>
      <c r="C98" s="10"/>
      <c r="D98" s="4">
        <v>171.69</v>
      </c>
      <c r="E98" s="4"/>
      <c r="F98" s="12">
        <f>IF(D$12=0,0,D98/D$12)</f>
        <v>0</v>
      </c>
      <c r="G98" s="4"/>
      <c r="H98" s="4">
        <v>4619</v>
      </c>
      <c r="I98" s="4"/>
      <c r="J98" s="12">
        <f>IF(H$12=0,0,H98/H$12)</f>
        <v>0.1901057743754373</v>
      </c>
      <c r="K98" s="4"/>
      <c r="L98" s="4">
        <f>+D98-H98</f>
        <v>-4447.3100000000004</v>
      </c>
      <c r="M98" s="4"/>
      <c r="N98" s="12">
        <f>IF(H98=0,0,L98/H98)</f>
        <v>-0.96282961680017332</v>
      </c>
      <c r="O98" s="10"/>
      <c r="P98" s="4">
        <v>4392.21</v>
      </c>
      <c r="Q98" s="4"/>
      <c r="R98" s="12">
        <f>IF(P$12=0,0,P98/P$12)</f>
        <v>0.20609170830220835</v>
      </c>
      <c r="S98" s="4"/>
      <c r="T98" s="4">
        <v>26973</v>
      </c>
      <c r="U98" s="4"/>
      <c r="V98" s="12">
        <f>IF(T$12=0,0,T98/T$12)</f>
        <v>0.2075053659212075</v>
      </c>
      <c r="W98" s="4"/>
      <c r="X98" s="4">
        <f>+P98-T98</f>
        <v>-22580.79</v>
      </c>
      <c r="Y98" s="4"/>
      <c r="Z98" s="12">
        <f>IF(T98=0,0,X98/T98)</f>
        <v>-0.83716271827382938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126</v>
      </c>
      <c r="C100" s="29"/>
      <c r="D100" s="34">
        <f>+D96-D98</f>
        <v>-316.27999999999997</v>
      </c>
      <c r="E100" s="14"/>
      <c r="F100" s="30">
        <f>IF(D$12=0,0,D100/D$12)</f>
        <v>0</v>
      </c>
      <c r="G100" s="14"/>
      <c r="H100" s="34">
        <f>+H96-H98</f>
        <v>-8227.0238099999988</v>
      </c>
      <c r="I100" s="14"/>
      <c r="J100" s="30">
        <f>IF(H$12=0,0,H100/H$12)</f>
        <v>-0.33860245338930728</v>
      </c>
      <c r="K100" s="16"/>
      <c r="L100" s="34">
        <f>D100-H100</f>
        <v>7910.743809999999</v>
      </c>
      <c r="M100" s="16"/>
      <c r="N100" s="30">
        <f>IF(H100=0,0,L100/H100)</f>
        <v>-0.96155596394220233</v>
      </c>
      <c r="O100" s="28"/>
      <c r="P100" s="34">
        <f>+P96-P98</f>
        <v>-9501.6499999999942</v>
      </c>
      <c r="Q100" s="14"/>
      <c r="R100" s="30">
        <f>IF(P$12=0,0,P100/P$12)</f>
        <v>-0.44583735299306654</v>
      </c>
      <c r="S100" s="14"/>
      <c r="T100" s="34">
        <f>+T96-T98</f>
        <v>-75932.74736400001</v>
      </c>
      <c r="U100" s="14"/>
      <c r="V100" s="30">
        <f>IF(T$12=0,0,T100/T$12)</f>
        <v>-0.5841564722933833</v>
      </c>
      <c r="W100" s="16"/>
      <c r="X100" s="34">
        <f>P100-T100</f>
        <v>66431.097364000016</v>
      </c>
      <c r="Y100" s="16"/>
      <c r="Z100" s="30">
        <f>IF(T100=0,0,X100/T100)</f>
        <v>-0.87486755938841798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294</v>
      </c>
      <c r="C103" s="29"/>
      <c r="D103" s="31">
        <f>SUM(D100:D102)</f>
        <v>-316.27999999999997</v>
      </c>
      <c r="E103" s="14"/>
      <c r="F103" s="35">
        <f>IF(D$12=0,0,D103/D$12)</f>
        <v>0</v>
      </c>
      <c r="G103" s="14"/>
      <c r="H103" s="31">
        <f>SUM(H100:H102)</f>
        <v>-8227.0238099999988</v>
      </c>
      <c r="I103" s="14"/>
      <c r="J103" s="35">
        <f>IF(H$12=0,0,H103/H$12)</f>
        <v>-0.33860245338930728</v>
      </c>
      <c r="K103" s="16"/>
      <c r="L103" s="31">
        <f>+D103-H103</f>
        <v>7910.743809999999</v>
      </c>
      <c r="M103" s="16"/>
      <c r="N103" s="35">
        <f>IF(H103=0,0,L103/H103)</f>
        <v>-0.96155596394220233</v>
      </c>
      <c r="O103" s="28"/>
      <c r="P103" s="31">
        <f>SUM(P100:P102)</f>
        <v>-9501.6499999999942</v>
      </c>
      <c r="Q103" s="14"/>
      <c r="R103" s="35">
        <f>IF(P$12=0,0,P103/P$12)</f>
        <v>-0.44583735299306654</v>
      </c>
      <c r="S103" s="14"/>
      <c r="T103" s="31">
        <f>SUM(T100:T102)</f>
        <v>-75932.74736400001</v>
      </c>
      <c r="U103" s="14"/>
      <c r="V103" s="35">
        <f>IF(T$12=0,0,T103/T$12)</f>
        <v>-0.5841564722933833</v>
      </c>
      <c r="W103" s="16"/>
      <c r="X103" s="31">
        <f>+P103-T103</f>
        <v>66431.097364000016</v>
      </c>
      <c r="Y103" s="16"/>
      <c r="Z103" s="35">
        <f>IF(T103=0,0,X103/T103)</f>
        <v>-0.87486755938841798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6">
        <v>44295.961777233795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3" t="s">
        <v>56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4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24297</v>
      </c>
      <c r="I12" s="4"/>
      <c r="J12" s="12"/>
      <c r="K12" s="4"/>
      <c r="L12" s="4">
        <f t="shared" ref="L12:L23" si="0">+D12-H12</f>
        <v>-24297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129987</v>
      </c>
      <c r="U12" s="4"/>
      <c r="V12" s="12"/>
      <c r="W12" s="4"/>
      <c r="X12" s="4">
        <f t="shared" ref="X12:X23" si="2">+P12-T12</f>
        <v>-108675.08</v>
      </c>
      <c r="Y12" s="4"/>
      <c r="Z12" s="12">
        <f t="shared" ref="Z12:Z23" si="3">IF(T12=0,0,X12/T12)</f>
        <v>-0.83604575842199602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24297</v>
      </c>
      <c r="I20" s="2"/>
      <c r="J20" s="19"/>
      <c r="K20" s="2"/>
      <c r="L20" s="2">
        <f t="shared" si="0"/>
        <v>-24297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129987</v>
      </c>
      <c r="U20" s="2"/>
      <c r="V20" s="19"/>
      <c r="W20" s="2"/>
      <c r="X20" s="2">
        <f t="shared" si="2"/>
        <v>-129987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--1847.16</f>
        <v>1847.16</v>
      </c>
      <c r="Q21" s="2"/>
      <c r="R21" s="19"/>
      <c r="S21" s="2"/>
      <c r="T21" s="2"/>
      <c r="U21" s="2"/>
      <c r="V21" s="19"/>
      <c r="W21" s="2"/>
      <c r="X21" s="2">
        <f t="shared" si="2"/>
        <v>1847.16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-159.97</f>
        <v>-159.97</v>
      </c>
      <c r="Q22" s="2"/>
      <c r="R22" s="19"/>
      <c r="S22" s="2"/>
      <c r="T22" s="2"/>
      <c r="U22" s="2"/>
      <c r="V22" s="19"/>
      <c r="W22" s="2"/>
      <c r="X22" s="2">
        <f t="shared" si="2"/>
        <v>-159.97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-222.2</f>
        <v>-222.2</v>
      </c>
      <c r="Q23" s="2"/>
      <c r="R23" s="19"/>
      <c r="S23" s="2"/>
      <c r="T23" s="2"/>
      <c r="U23" s="2"/>
      <c r="V23" s="19"/>
      <c r="W23" s="2"/>
      <c r="X23" s="2">
        <f t="shared" si="2"/>
        <v>-222.2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257</v>
      </c>
      <c r="C25" s="10"/>
      <c r="D25" s="4">
        <f>SUM(OSRRefD16x_0)</f>
        <v>30.48</v>
      </c>
      <c r="E25" s="4"/>
      <c r="F25" s="12">
        <f t="shared" ref="F25:F33" si="5">IF(D$12=0,0,D25/D$12)</f>
        <v>0</v>
      </c>
      <c r="G25" s="4"/>
      <c r="H25" s="4">
        <f>SUM(OSRRefH16x_0)</f>
        <v>12154</v>
      </c>
      <c r="I25" s="4"/>
      <c r="J25" s="12">
        <f t="shared" ref="J25:J33" si="6">IF(H$12=0,0,H25/H$12)</f>
        <v>0.50022636539490473</v>
      </c>
      <c r="K25" s="4"/>
      <c r="L25" s="4">
        <f t="shared" ref="L25:L33" si="7">+D25-H25</f>
        <v>-12123.52</v>
      </c>
      <c r="M25" s="4"/>
      <c r="N25" s="12">
        <f t="shared" ref="N25:N33" si="8">IF(H25=0,0,L25/H25)</f>
        <v>-0.9974921836432451</v>
      </c>
      <c r="O25" s="10"/>
      <c r="P25" s="4">
        <f>SUM(OSRRefP16x_0)</f>
        <v>13773.499999999995</v>
      </c>
      <c r="Q25" s="4"/>
      <c r="R25" s="12">
        <f t="shared" ref="R25:R33" si="9">IF(P$12=0,0,P25/P$12)</f>
        <v>0.64628151757326391</v>
      </c>
      <c r="S25" s="4"/>
      <c r="T25" s="4">
        <f>SUM(OSRRefT16x_0)</f>
        <v>65926</v>
      </c>
      <c r="U25" s="4"/>
      <c r="V25" s="12">
        <f t="shared" ref="V25:V33" si="10">IF(T$12=0,0,T25/T$12)</f>
        <v>0.5071737943025072</v>
      </c>
      <c r="W25" s="4"/>
      <c r="X25" s="4">
        <f t="shared" ref="X25:X33" si="11">+P25-T25</f>
        <v>-52152.500000000007</v>
      </c>
      <c r="Y25" s="4"/>
      <c r="Z25" s="12">
        <f t="shared" ref="Z25:Z33" si="12">IF(T25=0,0,X25/T25)</f>
        <v>-0.79107635834117052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5"/>
        <v>0</v>
      </c>
      <c r="G26" s="2"/>
      <c r="H26" s="2">
        <v>12154</v>
      </c>
      <c r="I26" s="2"/>
      <c r="J26" s="19">
        <f t="shared" si="6"/>
        <v>0.50022636539490473</v>
      </c>
      <c r="K26" s="2"/>
      <c r="L26" s="2">
        <f t="shared" si="7"/>
        <v>-12154</v>
      </c>
      <c r="M26" s="2"/>
      <c r="N26" s="19">
        <f t="shared" si="8"/>
        <v>-1</v>
      </c>
      <c r="O26" s="11"/>
      <c r="P26" s="2"/>
      <c r="Q26" s="2"/>
      <c r="R26" s="19">
        <f t="shared" si="9"/>
        <v>0</v>
      </c>
      <c r="S26" s="2"/>
      <c r="T26" s="2">
        <v>65926</v>
      </c>
      <c r="U26" s="2"/>
      <c r="V26" s="19">
        <f t="shared" si="10"/>
        <v>0.5071737943025072</v>
      </c>
      <c r="W26" s="2"/>
      <c r="X26" s="2">
        <f t="shared" si="11"/>
        <v>-65926</v>
      </c>
      <c r="Y26" s="2"/>
      <c r="Z26" s="19">
        <f t="shared" si="12"/>
        <v>-1</v>
      </c>
    </row>
    <row r="27" spans="1:26" s="24" customFormat="1" hidden="1" outlineLevel="1" x14ac:dyDescent="0.25">
      <c r="A27" s="44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364.91</v>
      </c>
      <c r="Q27" s="2"/>
      <c r="R27" s="19">
        <f t="shared" si="9"/>
        <v>1.7122342801587094E-2</v>
      </c>
      <c r="S27" s="2"/>
      <c r="T27" s="2"/>
      <c r="U27" s="2"/>
      <c r="V27" s="19">
        <f t="shared" si="10"/>
        <v>0</v>
      </c>
      <c r="W27" s="2"/>
      <c r="X27" s="2">
        <f t="shared" si="11"/>
        <v>364.91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895.47</v>
      </c>
      <c r="Q28" s="2"/>
      <c r="R28" s="19">
        <f t="shared" si="9"/>
        <v>4.201733114613794E-2</v>
      </c>
      <c r="S28" s="2"/>
      <c r="T28" s="2"/>
      <c r="U28" s="2"/>
      <c r="V28" s="19">
        <f t="shared" si="10"/>
        <v>0</v>
      </c>
      <c r="W28" s="2"/>
      <c r="X28" s="2">
        <f t="shared" si="11"/>
        <v>895.47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41441.85</v>
      </c>
      <c r="Q29" s="2"/>
      <c r="R29" s="19">
        <f t="shared" si="9"/>
        <v>1.9445385493188789</v>
      </c>
      <c r="S29" s="2"/>
      <c r="T29" s="2"/>
      <c r="U29" s="2"/>
      <c r="V29" s="19">
        <f t="shared" si="10"/>
        <v>0</v>
      </c>
      <c r="W29" s="2"/>
      <c r="X29" s="2">
        <f t="shared" si="11"/>
        <v>41441.85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2441.5700000000002</v>
      </c>
      <c r="Q30" s="2"/>
      <c r="R30" s="19">
        <f t="shared" si="9"/>
        <v>0.11456358695040149</v>
      </c>
      <c r="S30" s="2"/>
      <c r="T30" s="2"/>
      <c r="U30" s="2"/>
      <c r="V30" s="19">
        <f t="shared" si="10"/>
        <v>0</v>
      </c>
      <c r="W30" s="2"/>
      <c r="X30" s="2">
        <f t="shared" si="11"/>
        <v>2441.5700000000002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-45863.33</v>
      </c>
      <c r="Q31" s="2"/>
      <c r="R31" s="19">
        <f t="shared" si="9"/>
        <v>-2.1520036674311842</v>
      </c>
      <c r="S31" s="2"/>
      <c r="T31" s="2"/>
      <c r="U31" s="2"/>
      <c r="V31" s="19">
        <f t="shared" si="10"/>
        <v>0</v>
      </c>
      <c r="W31" s="2"/>
      <c r="X31" s="2">
        <f t="shared" si="11"/>
        <v>-45863.33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14145</v>
      </c>
      <c r="Q32" s="2"/>
      <c r="R32" s="19">
        <f t="shared" si="9"/>
        <v>0.66371307700103988</v>
      </c>
      <c r="S32" s="2"/>
      <c r="T32" s="2"/>
      <c r="U32" s="2"/>
      <c r="V32" s="19">
        <f t="shared" si="10"/>
        <v>0</v>
      </c>
      <c r="W32" s="2"/>
      <c r="X32" s="2">
        <f t="shared" si="11"/>
        <v>14145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"5528", " - ", "FREIGHT-IN-ART/TECH")</f>
        <v xml:space="preserve">          5528 - FREIGHT-IN-ART/TECH</v>
      </c>
      <c r="C33" s="11"/>
      <c r="D33" s="2">
        <v>30.48</v>
      </c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30.48</v>
      </c>
      <c r="M33" s="2"/>
      <c r="N33" s="19">
        <f t="shared" si="8"/>
        <v>0</v>
      </c>
      <c r="O33" s="11"/>
      <c r="P33" s="2">
        <v>348.03</v>
      </c>
      <c r="Q33" s="2"/>
      <c r="R33" s="19">
        <f t="shared" si="9"/>
        <v>1.6330297786403103E-2</v>
      </c>
      <c r="S33" s="2"/>
      <c r="T33" s="2"/>
      <c r="U33" s="2"/>
      <c r="V33" s="19">
        <f t="shared" si="10"/>
        <v>0</v>
      </c>
      <c r="W33" s="2"/>
      <c r="X33" s="2">
        <f t="shared" si="11"/>
        <v>348.03</v>
      </c>
      <c r="Y33" s="2"/>
      <c r="Z33" s="19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9" t="s">
        <v>108</v>
      </c>
      <c r="C35" s="29"/>
      <c r="D35" s="20">
        <f>D12-D25</f>
        <v>-30.48</v>
      </c>
      <c r="E35" s="14"/>
      <c r="F35" s="21">
        <f>IF(D$12=0,0,D35/D$12)</f>
        <v>0</v>
      </c>
      <c r="G35" s="14"/>
      <c r="H35" s="20">
        <f>H12-H25</f>
        <v>12143</v>
      </c>
      <c r="I35" s="14"/>
      <c r="J35" s="21">
        <f>IF(H$12=0,0,H35/H$12)</f>
        <v>0.49977363460509527</v>
      </c>
      <c r="K35" s="16"/>
      <c r="L35" s="20">
        <f>+D35-H35</f>
        <v>-12173.48</v>
      </c>
      <c r="M35" s="16"/>
      <c r="N35" s="21">
        <f>IF(H35=0,0,L35/H35)</f>
        <v>-1.0025100881166105</v>
      </c>
      <c r="O35" s="28"/>
      <c r="P35" s="20">
        <f>P12-P25</f>
        <v>7538.4200000000037</v>
      </c>
      <c r="Q35" s="14"/>
      <c r="R35" s="21">
        <f>IF(P$12=0,0,P35/P$12)</f>
        <v>0.35371848242673604</v>
      </c>
      <c r="S35" s="14"/>
      <c r="T35" s="20">
        <f>T12-T25</f>
        <v>64061</v>
      </c>
      <c r="U35" s="14"/>
      <c r="V35" s="21">
        <f>IF(T$12=0,0,T35/T$12)</f>
        <v>0.4928262056974928</v>
      </c>
      <c r="W35" s="16"/>
      <c r="X35" s="20">
        <f>+P35-T35</f>
        <v>-56522.579999999994</v>
      </c>
      <c r="Y35" s="16"/>
      <c r="Z35" s="21">
        <f>IF(T35=0,0,X35/T35)</f>
        <v>-0.88232434710666385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8" t="s">
        <v>295</v>
      </c>
      <c r="C37" s="10"/>
      <c r="D37" s="22">
        <f>SUM(OSRRefD22x_0)</f>
        <v>114.11</v>
      </c>
      <c r="E37" s="22"/>
      <c r="F37" s="32">
        <f t="shared" ref="F37:F46" si="13">IF(D$12=0,0,D37/D$12)</f>
        <v>0</v>
      </c>
      <c r="G37" s="22"/>
      <c r="H37" s="22">
        <f>SUM(OSRRefH22x_0)</f>
        <v>15751.023809999999</v>
      </c>
      <c r="I37" s="22"/>
      <c r="J37" s="32">
        <f t="shared" ref="J37:J46" si="14">IF(H$12=0,0,H37/H$12)</f>
        <v>0.64827031361896525</v>
      </c>
      <c r="K37" s="4"/>
      <c r="L37" s="22">
        <f t="shared" ref="L37:L46" si="15">+D37-H37</f>
        <v>-15636.913809999998</v>
      </c>
      <c r="M37" s="4"/>
      <c r="N37" s="32">
        <f t="shared" ref="N37:N46" si="16">IF(H37=0,0,L37/H37)</f>
        <v>-0.9927553915620676</v>
      </c>
      <c r="O37" s="10"/>
      <c r="P37" s="22">
        <f>SUM(OSRRefP22x_0)</f>
        <v>12647.859999999997</v>
      </c>
      <c r="Q37" s="22"/>
      <c r="R37" s="32">
        <f t="shared" ref="R37:R46" si="17">IF(P$12=0,0,P37/P$12)</f>
        <v>0.59346412711759422</v>
      </c>
      <c r="S37" s="22"/>
      <c r="T37" s="22">
        <f>SUM(OSRRefT22x_0)</f>
        <v>113020.74736400001</v>
      </c>
      <c r="U37" s="22"/>
      <c r="V37" s="32">
        <f t="shared" ref="V37:V46" si="18">IF(T$12=0,0,T37/T$12)</f>
        <v>0.86947731206966861</v>
      </c>
      <c r="W37" s="4"/>
      <c r="X37" s="22">
        <f t="shared" ref="X37:X46" si="19">+P37-T37</f>
        <v>-100372.88736400001</v>
      </c>
      <c r="Y37" s="4"/>
      <c r="Z37" s="32">
        <f t="shared" ref="Z37:Z46" si="20">IF(T37=0,0,X37/T37)</f>
        <v>-0.88809258215869247</v>
      </c>
    </row>
    <row r="38" spans="1:26" s="25" customFormat="1" outlineLevel="1" collapsed="1" x14ac:dyDescent="0.25">
      <c r="A38" s="27"/>
      <c r="B38" s="13" t="str">
        <f>CONCATENATE("     ","*Benefits                                         ")</f>
        <v xml:space="preserve">     *Benefits                                         </v>
      </c>
      <c r="C38" s="13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2132.8538099999996</v>
      </c>
      <c r="I38" s="1"/>
      <c r="J38" s="5">
        <f t="shared" si="14"/>
        <v>8.7782599086306937E-2</v>
      </c>
      <c r="K38" s="1"/>
      <c r="L38" s="1">
        <f t="shared" si="15"/>
        <v>-2132.8538099999996</v>
      </c>
      <c r="M38" s="1"/>
      <c r="N38" s="5">
        <f t="shared" si="16"/>
        <v>-1</v>
      </c>
      <c r="O38" s="13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18075.237364000001</v>
      </c>
      <c r="U38" s="1"/>
      <c r="V38" s="5">
        <f t="shared" si="18"/>
        <v>0.13905419283466808</v>
      </c>
      <c r="W38" s="1"/>
      <c r="X38" s="1">
        <f t="shared" si="19"/>
        <v>-17297.037364</v>
      </c>
      <c r="Y38" s="1"/>
      <c r="Z38" s="5">
        <f t="shared" si="20"/>
        <v>-0.95694662347561077</v>
      </c>
    </row>
    <row r="39" spans="1:26" s="24" customFormat="1" hidden="1" outlineLevel="2" x14ac:dyDescent="0.25">
      <c r="A39" s="26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490.48842300000001</v>
      </c>
      <c r="I39" s="2"/>
      <c r="J39" s="6">
        <f t="shared" si="14"/>
        <v>2.0187201012470676E-2</v>
      </c>
      <c r="K39" s="2"/>
      <c r="L39" s="7">
        <f t="shared" si="15"/>
        <v>-490.48842300000001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4002.1440029999999</v>
      </c>
      <c r="U39" s="2"/>
      <c r="V39" s="6">
        <f t="shared" si="18"/>
        <v>3.0788801980198018E-2</v>
      </c>
      <c r="W39" s="2"/>
      <c r="X39" s="7">
        <f t="shared" si="19"/>
        <v>-3517.5340029999998</v>
      </c>
      <c r="Y39" s="2"/>
      <c r="Z39" s="6">
        <f t="shared" si="20"/>
        <v>-0.87891240304278473</v>
      </c>
    </row>
    <row r="40" spans="1:26" s="24" customFormat="1" hidden="1" outlineLevel="2" x14ac:dyDescent="0.25">
      <c r="A40" s="26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194.19764499999999</v>
      </c>
      <c r="I40" s="2"/>
      <c r="J40" s="6">
        <f t="shared" si="14"/>
        <v>7.9926593818166851E-3</v>
      </c>
      <c r="K40" s="2"/>
      <c r="L40" s="7">
        <f t="shared" si="15"/>
        <v>-194.19764499999999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1371.654935</v>
      </c>
      <c r="U40" s="2"/>
      <c r="V40" s="6">
        <f t="shared" si="18"/>
        <v>1.0552247032395547E-2</v>
      </c>
      <c r="W40" s="2"/>
      <c r="X40" s="7">
        <f t="shared" si="19"/>
        <v>-1116.0849350000001</v>
      </c>
      <c r="Y40" s="2"/>
      <c r="Z40" s="6">
        <f t="shared" si="20"/>
        <v>-0.81367762876892946</v>
      </c>
    </row>
    <row r="41" spans="1:26" s="24" customFormat="1" hidden="1" outlineLevel="2" x14ac:dyDescent="0.25">
      <c r="A41" s="26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2.7369634111207145E-2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5985</v>
      </c>
      <c r="U41" s="2"/>
      <c r="V41" s="6">
        <f t="shared" si="18"/>
        <v>4.6043065845046041E-2</v>
      </c>
      <c r="W41" s="2"/>
      <c r="X41" s="7">
        <f t="shared" si="19"/>
        <v>-5985</v>
      </c>
      <c r="Y41" s="2"/>
      <c r="Z41" s="6">
        <f t="shared" si="20"/>
        <v>-1</v>
      </c>
    </row>
    <row r="42" spans="1:26" s="24" customFormat="1" hidden="1" outlineLevel="2" x14ac:dyDescent="0.25">
      <c r="A42" s="26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27.292642000000001</v>
      </c>
      <c r="I42" s="2"/>
      <c r="J42" s="6">
        <f t="shared" si="14"/>
        <v>1.1232926698769396E-3</v>
      </c>
      <c r="K42" s="2"/>
      <c r="L42" s="7">
        <f t="shared" si="15"/>
        <v>-27.292642000000001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192.77312599999999</v>
      </c>
      <c r="U42" s="2"/>
      <c r="V42" s="6">
        <f t="shared" si="18"/>
        <v>1.4830185018501849E-3</v>
      </c>
      <c r="W42" s="2"/>
      <c r="X42" s="7">
        <f t="shared" si="19"/>
        <v>-154.75312599999998</v>
      </c>
      <c r="Y42" s="2"/>
      <c r="Z42" s="6">
        <f t="shared" si="20"/>
        <v>-0.80277333885222146</v>
      </c>
    </row>
    <row r="43" spans="1:26" s="24" customFormat="1" hidden="1" outlineLevel="2" x14ac:dyDescent="0.25">
      <c r="A43" s="26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1.4724451578384163E-2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3488.16</v>
      </c>
      <c r="U43" s="2"/>
      <c r="V43" s="6">
        <f t="shared" si="18"/>
        <v>2.6834683468346835E-2</v>
      </c>
      <c r="W43" s="2"/>
      <c r="X43" s="7">
        <f t="shared" si="19"/>
        <v>-3488.16</v>
      </c>
      <c r="Y43" s="2"/>
      <c r="Z43" s="6">
        <f t="shared" si="20"/>
        <v>-1</v>
      </c>
    </row>
    <row r="44" spans="1:26" s="24" customFormat="1" hidden="1" outlineLevel="2" x14ac:dyDescent="0.25">
      <c r="A44" s="26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6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5.1364365971107544E-3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1216.8</v>
      </c>
      <c r="U45" s="2"/>
      <c r="V45" s="6">
        <f t="shared" si="18"/>
        <v>9.3609360936093601E-3</v>
      </c>
      <c r="W45" s="2"/>
      <c r="X45" s="7">
        <f t="shared" si="19"/>
        <v>-1216.8</v>
      </c>
      <c r="Y45" s="2"/>
      <c r="Z45" s="6">
        <f t="shared" si="20"/>
        <v>-1</v>
      </c>
    </row>
    <row r="46" spans="1:26" s="24" customFormat="1" hidden="1" outlineLevel="2" x14ac:dyDescent="0.25">
      <c r="A46" s="26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273.31509999999997</v>
      </c>
      <c r="I46" s="2"/>
      <c r="J46" s="6">
        <f t="shared" si="14"/>
        <v>1.1248923735440588E-2</v>
      </c>
      <c r="K46" s="2"/>
      <c r="L46" s="7">
        <f t="shared" si="15"/>
        <v>-273.31509999999997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1818.7053000000001</v>
      </c>
      <c r="U46" s="2"/>
      <c r="V46" s="6">
        <f t="shared" si="18"/>
        <v>1.3991439913222091E-2</v>
      </c>
      <c r="W46" s="2"/>
      <c r="X46" s="7">
        <f t="shared" si="19"/>
        <v>-1818.7053000000001</v>
      </c>
      <c r="Y46" s="2"/>
      <c r="Z46" s="6">
        <f t="shared" si="20"/>
        <v>-1</v>
      </c>
    </row>
    <row r="47" spans="1:26" s="25" customFormat="1" outlineLevel="1" collapsed="1" x14ac:dyDescent="0.25">
      <c r="A47" s="27"/>
      <c r="B47" s="13" t="str">
        <f>CONCATENATE("     ","*Payroll                                          ")</f>
        <v xml:space="preserve">     *Payroll                                          </v>
      </c>
      <c r="C47" s="13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10289.17</v>
      </c>
      <c r="I47" s="1"/>
      <c r="J47" s="5">
        <f t="shared" ref="J47:J57" si="22">IF(H$12=0,0,H47/H$12)</f>
        <v>0.42347491459851011</v>
      </c>
      <c r="K47" s="1"/>
      <c r="L47" s="1">
        <f t="shared" ref="L47:L57" si="23">+D47-H47</f>
        <v>-10289.17</v>
      </c>
      <c r="M47" s="1"/>
      <c r="N47" s="5">
        <f t="shared" ref="N47:N57" si="24">IF(H47=0,0,L47/H47)</f>
        <v>-1</v>
      </c>
      <c r="O47" s="13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72115.509999999995</v>
      </c>
      <c r="U47" s="1"/>
      <c r="V47" s="5">
        <f t="shared" ref="V47:V57" si="26">IF(T$12=0,0,T47/T$12)</f>
        <v>0.55479017132482478</v>
      </c>
      <c r="W47" s="1"/>
      <c r="X47" s="1">
        <f t="shared" ref="X47:X57" si="27">+P47-T47</f>
        <v>-63962.969999999994</v>
      </c>
      <c r="Y47" s="1"/>
      <c r="Z47" s="5">
        <f t="shared" ref="Z47:Z57" si="28">IF(T47=0,0,X47/T47)</f>
        <v>-0.88695164188674525</v>
      </c>
    </row>
    <row r="48" spans="1:26" s="24" customFormat="1" hidden="1" outlineLevel="2" x14ac:dyDescent="0.25">
      <c r="A48" s="26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0.16265382557517388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38532</v>
      </c>
      <c r="U48" s="2"/>
      <c r="V48" s="6">
        <f t="shared" si="26"/>
        <v>0.29642964296429641</v>
      </c>
      <c r="W48" s="2"/>
      <c r="X48" s="7">
        <f t="shared" si="27"/>
        <v>-38532</v>
      </c>
      <c r="Y48" s="2"/>
      <c r="Z48" s="6">
        <f t="shared" si="28"/>
        <v>-1</v>
      </c>
    </row>
    <row r="49" spans="1:26" s="24" customFormat="1" hidden="1" outlineLevel="2" x14ac:dyDescent="0.25">
      <c r="A49" s="26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6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6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2249.1</v>
      </c>
      <c r="I51" s="2"/>
      <c r="J51" s="6">
        <f t="shared" si="22"/>
        <v>9.2566983578219533E-2</v>
      </c>
      <c r="K51" s="2"/>
      <c r="L51" s="7">
        <f t="shared" si="23"/>
        <v>-2249.1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11735.1</v>
      </c>
      <c r="U51" s="2"/>
      <c r="V51" s="6">
        <f t="shared" si="26"/>
        <v>9.0279027902790285E-2</v>
      </c>
      <c r="W51" s="2"/>
      <c r="X51" s="7">
        <f t="shared" si="27"/>
        <v>-11735.1</v>
      </c>
      <c r="Y51" s="2"/>
      <c r="Z51" s="6">
        <f t="shared" si="28"/>
        <v>-1</v>
      </c>
    </row>
    <row r="52" spans="1:26" s="24" customFormat="1" hidden="1" outlineLevel="2" x14ac:dyDescent="0.25">
      <c r="A52" s="26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2058</v>
      </c>
      <c r="I52" s="2"/>
      <c r="J52" s="6">
        <f t="shared" si="22"/>
        <v>8.4701815038893694E-2</v>
      </c>
      <c r="K52" s="2"/>
      <c r="L52" s="7">
        <f t="shared" si="23"/>
        <v>-2058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7196</v>
      </c>
      <c r="U52" s="2"/>
      <c r="V52" s="6">
        <f t="shared" si="26"/>
        <v>5.5359382092055362E-2</v>
      </c>
      <c r="W52" s="2"/>
      <c r="X52" s="7">
        <f t="shared" si="27"/>
        <v>-1816.8100000000004</v>
      </c>
      <c r="Y52" s="2"/>
      <c r="Z52" s="6">
        <f t="shared" si="28"/>
        <v>-0.25247498610339081</v>
      </c>
    </row>
    <row r="53" spans="1:26" s="24" customFormat="1" hidden="1" outlineLevel="2" x14ac:dyDescent="0.25">
      <c r="A53" s="26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6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6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2030.07</v>
      </c>
      <c r="I55" s="2"/>
      <c r="J55" s="6">
        <f t="shared" si="22"/>
        <v>8.3552290406222987E-2</v>
      </c>
      <c r="K55" s="2"/>
      <c r="L55" s="7">
        <f t="shared" si="23"/>
        <v>-2030.07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14652.41</v>
      </c>
      <c r="U55" s="2"/>
      <c r="V55" s="6">
        <f t="shared" si="26"/>
        <v>0.11272211836568272</v>
      </c>
      <c r="W55" s="2"/>
      <c r="X55" s="7">
        <f t="shared" si="27"/>
        <v>-14652.41</v>
      </c>
      <c r="Y55" s="2"/>
      <c r="Z55" s="6">
        <f t="shared" si="28"/>
        <v>-1</v>
      </c>
    </row>
    <row r="56" spans="1:26" s="24" customFormat="1" hidden="1" outlineLevel="2" x14ac:dyDescent="0.25">
      <c r="A56" s="26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6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5" customFormat="1" outlineLevel="1" collapsed="1" x14ac:dyDescent="0.25">
      <c r="A58" s="27"/>
      <c r="B58" s="13" t="str">
        <f>CONCATENATE("     ","Advertising/Promo                                 ")</f>
        <v xml:space="preserve">     Advertising/Promo                                 </v>
      </c>
      <c r="C58" s="13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4.1157344528131041E-3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3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800</v>
      </c>
      <c r="U58" s="1"/>
      <c r="V58" s="5">
        <f t="shared" ref="V58:V66" si="34">IF(T$12=0,0,T58/T$12)</f>
        <v>6.1544616000061541E-3</v>
      </c>
      <c r="W58" s="1"/>
      <c r="X58" s="1">
        <f t="shared" ref="X58:X66" si="35">+P58-T58</f>
        <v>-675.28</v>
      </c>
      <c r="Y58" s="1"/>
      <c r="Z58" s="5">
        <f t="shared" ref="Z58:Z66" si="36">IF(T58=0,0,X58/T58)</f>
        <v>-0.84409999999999996</v>
      </c>
    </row>
    <row r="59" spans="1:26" s="24" customFormat="1" hidden="1" outlineLevel="2" x14ac:dyDescent="0.25">
      <c r="A59" s="26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4.1157344528131041E-3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800</v>
      </c>
      <c r="U59" s="2"/>
      <c r="V59" s="6">
        <f t="shared" si="34"/>
        <v>6.1544616000061541E-3</v>
      </c>
      <c r="W59" s="2"/>
      <c r="X59" s="7">
        <f t="shared" si="35"/>
        <v>-675.28</v>
      </c>
      <c r="Y59" s="2"/>
      <c r="Z59" s="6">
        <f t="shared" si="36"/>
        <v>-0.84409999999999996</v>
      </c>
    </row>
    <row r="60" spans="1:26" s="25" customFormat="1" outlineLevel="1" collapsed="1" x14ac:dyDescent="0.25">
      <c r="A60" s="27"/>
      <c r="B60" s="13" t="str">
        <f>CONCATENATE("     ","Bad Debts/Over/Short                              ")</f>
        <v xml:space="preserve">     Bad Debts/Over/Short                              </v>
      </c>
      <c r="C60" s="13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3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6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5" customFormat="1" outlineLevel="1" collapsed="1" x14ac:dyDescent="0.25">
      <c r="A62" s="27"/>
      <c r="B62" s="13" t="str">
        <f>CONCATENATE("     ","Bank/card Fees                                    ")</f>
        <v xml:space="preserve">     Bank/card Fees                                    </v>
      </c>
      <c r="C62" s="13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1673</v>
      </c>
      <c r="I62" s="1"/>
      <c r="J62" s="5">
        <f t="shared" si="30"/>
        <v>6.8856237395563236E-2</v>
      </c>
      <c r="K62" s="1"/>
      <c r="L62" s="1">
        <f t="shared" si="31"/>
        <v>-1673</v>
      </c>
      <c r="M62" s="1"/>
      <c r="N62" s="5">
        <f t="shared" si="32"/>
        <v>-1</v>
      </c>
      <c r="O62" s="13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8445</v>
      </c>
      <c r="U62" s="1"/>
      <c r="V62" s="5">
        <f t="shared" si="34"/>
        <v>6.4968035265064963E-2</v>
      </c>
      <c r="W62" s="1"/>
      <c r="X62" s="1">
        <f t="shared" si="35"/>
        <v>-8445</v>
      </c>
      <c r="Y62" s="1"/>
      <c r="Z62" s="5">
        <f t="shared" si="36"/>
        <v>-1</v>
      </c>
    </row>
    <row r="63" spans="1:26" s="24" customFormat="1" hidden="1" outlineLevel="2" x14ac:dyDescent="0.25">
      <c r="A63" s="26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1673</v>
      </c>
      <c r="I63" s="2"/>
      <c r="J63" s="6">
        <f t="shared" si="30"/>
        <v>6.8856237395563236E-2</v>
      </c>
      <c r="K63" s="2"/>
      <c r="L63" s="7">
        <f t="shared" si="31"/>
        <v>-1673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8445</v>
      </c>
      <c r="U63" s="2"/>
      <c r="V63" s="6">
        <f t="shared" si="34"/>
        <v>6.4968035265064963E-2</v>
      </c>
      <c r="W63" s="2"/>
      <c r="X63" s="7">
        <f t="shared" si="35"/>
        <v>-8445</v>
      </c>
      <c r="Y63" s="2"/>
      <c r="Z63" s="6">
        <f t="shared" si="36"/>
        <v>-1</v>
      </c>
    </row>
    <row r="64" spans="1:26" s="25" customFormat="1" outlineLevel="1" collapsed="1" x14ac:dyDescent="0.25">
      <c r="A64" s="27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534</v>
      </c>
      <c r="I64" s="1"/>
      <c r="J64" s="5">
        <f t="shared" si="30"/>
        <v>2.197802197802198E-2</v>
      </c>
      <c r="K64" s="1"/>
      <c r="L64" s="1">
        <f t="shared" si="31"/>
        <v>-534</v>
      </c>
      <c r="M64" s="1"/>
      <c r="N64" s="5">
        <f t="shared" si="32"/>
        <v>-1</v>
      </c>
      <c r="O64" s="13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2842</v>
      </c>
      <c r="U64" s="1"/>
      <c r="V64" s="5">
        <f t="shared" si="34"/>
        <v>2.1863724834021863E-2</v>
      </c>
      <c r="W64" s="1"/>
      <c r="X64" s="1">
        <f t="shared" si="35"/>
        <v>-2842</v>
      </c>
      <c r="Y64" s="1"/>
      <c r="Z64" s="5">
        <f t="shared" si="36"/>
        <v>-1</v>
      </c>
    </row>
    <row r="65" spans="1:26" s="24" customFormat="1" hidden="1" outlineLevel="2" x14ac:dyDescent="0.25">
      <c r="A65" s="26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534</v>
      </c>
      <c r="I65" s="2"/>
      <c r="J65" s="6">
        <f t="shared" si="30"/>
        <v>2.197802197802198E-2</v>
      </c>
      <c r="K65" s="2"/>
      <c r="L65" s="7">
        <f t="shared" si="31"/>
        <v>-534</v>
      </c>
      <c r="M65" s="2"/>
      <c r="N65" s="6">
        <f t="shared" si="32"/>
        <v>-1</v>
      </c>
      <c r="O65" s="11"/>
      <c r="P65" s="7">
        <v>0</v>
      </c>
      <c r="Q65" s="2"/>
      <c r="R65" s="6">
        <f t="shared" si="33"/>
        <v>0</v>
      </c>
      <c r="S65" s="2"/>
      <c r="T65" s="7">
        <v>2842</v>
      </c>
      <c r="U65" s="2"/>
      <c r="V65" s="6">
        <f t="shared" si="34"/>
        <v>2.1863724834021863E-2</v>
      </c>
      <c r="W65" s="2"/>
      <c r="X65" s="7">
        <f t="shared" si="35"/>
        <v>-2842</v>
      </c>
      <c r="Y65" s="2"/>
      <c r="Z65" s="6">
        <f t="shared" si="36"/>
        <v>-1</v>
      </c>
    </row>
    <row r="66" spans="1:26" s="24" customFormat="1" hidden="1" outlineLevel="2" x14ac:dyDescent="0.25">
      <c r="A66" s="26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5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248</v>
      </c>
      <c r="I67" s="1"/>
      <c r="J67" s="5">
        <f t="shared" ref="J67:J75" si="38">IF(H$12=0,0,H67/H$12)</f>
        <v>1.0207021442976499E-2</v>
      </c>
      <c r="K67" s="1"/>
      <c r="L67" s="1">
        <f t="shared" ref="L67:L75" si="39">+D67-H67</f>
        <v>-248</v>
      </c>
      <c r="M67" s="1"/>
      <c r="N67" s="5">
        <f t="shared" ref="N67:N75" si="40">IF(H67=0,0,L67/H67)</f>
        <v>-1</v>
      </c>
      <c r="O67" s="13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2231</v>
      </c>
      <c r="U67" s="1"/>
      <c r="V67" s="5">
        <f t="shared" ref="V67:V75" si="42">IF(T$12=0,0,T67/T$12)</f>
        <v>1.7163254787017163E-2</v>
      </c>
      <c r="W67" s="1"/>
      <c r="X67" s="1">
        <f t="shared" ref="X67:X75" si="43">+P67-T67</f>
        <v>-2231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6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248</v>
      </c>
      <c r="I68" s="2"/>
      <c r="J68" s="6">
        <f t="shared" si="38"/>
        <v>1.0207021442976499E-2</v>
      </c>
      <c r="K68" s="2"/>
      <c r="L68" s="7">
        <f t="shared" si="39"/>
        <v>-248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2231</v>
      </c>
      <c r="U68" s="2"/>
      <c r="V68" s="6">
        <f t="shared" si="42"/>
        <v>1.7163254787017163E-2</v>
      </c>
      <c r="W68" s="2"/>
      <c r="X68" s="7">
        <f t="shared" si="43"/>
        <v>-2231</v>
      </c>
      <c r="Y68" s="2"/>
      <c r="Z68" s="6">
        <f t="shared" si="44"/>
        <v>-1</v>
      </c>
    </row>
    <row r="69" spans="1:26" s="25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7.6930770000076931E-3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6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7.6930770000076931E-3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5" customFormat="1" outlineLevel="1" collapsed="1" x14ac:dyDescent="0.25">
      <c r="A71" s="27"/>
      <c r="B71" s="13" t="str">
        <f>CONCATENATE("     ","Professional Services                             ")</f>
        <v xml:space="preserve">     Professional Services                             </v>
      </c>
      <c r="C71" s="13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3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6.1544616000061541E-3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6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6.1544616000061541E-3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5" customFormat="1" outlineLevel="1" collapsed="1" x14ac:dyDescent="0.25">
      <c r="A73" s="27"/>
      <c r="B73" s="13" t="str">
        <f>CONCATENATE("     ","Repair and Maintenance                            ")</f>
        <v xml:space="preserve">     Repair and Maintenance                            </v>
      </c>
      <c r="C73" s="13"/>
      <c r="D73" s="1">
        <f>SUM(OSRRefD22_9x_0)</f>
        <v>61.11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4.1157344528131041E-3</v>
      </c>
      <c r="K73" s="1"/>
      <c r="L73" s="1">
        <f t="shared" si="39"/>
        <v>-38.89</v>
      </c>
      <c r="M73" s="1"/>
      <c r="N73" s="5">
        <f t="shared" si="40"/>
        <v>-0.38890000000000002</v>
      </c>
      <c r="O73" s="13"/>
      <c r="P73" s="1">
        <f>SUM(OSRRefP22_9x_0)</f>
        <v>261.93</v>
      </c>
      <c r="Q73" s="1"/>
      <c r="R73" s="5">
        <f t="shared" si="41"/>
        <v>1.2290305143788078E-2</v>
      </c>
      <c r="S73" s="1"/>
      <c r="T73" s="1">
        <f>SUM(OSRRefT22_9x_0)</f>
        <v>900</v>
      </c>
      <c r="U73" s="1"/>
      <c r="V73" s="5">
        <f t="shared" si="42"/>
        <v>6.9237693000069236E-3</v>
      </c>
      <c r="W73" s="1"/>
      <c r="X73" s="1">
        <f t="shared" si="43"/>
        <v>-638.06999999999994</v>
      </c>
      <c r="Y73" s="1"/>
      <c r="Z73" s="5">
        <f t="shared" si="44"/>
        <v>-0.70896666666666663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7">
        <v>61.11</v>
      </c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61.11</v>
      </c>
      <c r="M74" s="2"/>
      <c r="N74" s="6">
        <f t="shared" si="40"/>
        <v>0</v>
      </c>
      <c r="O74" s="11"/>
      <c r="P74" s="7">
        <v>261.93</v>
      </c>
      <c r="Q74" s="2"/>
      <c r="R74" s="6">
        <f t="shared" si="41"/>
        <v>1.2290305143788078E-2</v>
      </c>
      <c r="S74" s="2"/>
      <c r="T74" s="7"/>
      <c r="U74" s="2"/>
      <c r="V74" s="6">
        <f t="shared" si="42"/>
        <v>0</v>
      </c>
      <c r="W74" s="2"/>
      <c r="X74" s="7">
        <f t="shared" si="43"/>
        <v>261.93</v>
      </c>
      <c r="Y74" s="2"/>
      <c r="Z74" s="6">
        <f t="shared" si="44"/>
        <v>0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4.1157344528131041E-3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900</v>
      </c>
      <c r="U75" s="2"/>
      <c r="V75" s="6">
        <f t="shared" si="42"/>
        <v>6.9237693000069236E-3</v>
      </c>
      <c r="W75" s="2"/>
      <c r="X75" s="7">
        <f t="shared" si="43"/>
        <v>-900</v>
      </c>
      <c r="Y75" s="2"/>
      <c r="Z75" s="6">
        <f t="shared" si="44"/>
        <v>-1</v>
      </c>
    </row>
    <row r="76" spans="1:26" s="25" customFormat="1" outlineLevel="1" collapsed="1" x14ac:dyDescent="0.25">
      <c r="A76" s="27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1.1277112400707907E-2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3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2192</v>
      </c>
      <c r="U76" s="1"/>
      <c r="V76" s="5">
        <f t="shared" ref="V76:V78" si="50">IF(T$12=0,0,T76/T$12)</f>
        <v>1.6863224784016865E-2</v>
      </c>
      <c r="W76" s="1"/>
      <c r="X76" s="1">
        <f t="shared" ref="X76:X78" si="51">+P76-T76</f>
        <v>-2173.5</v>
      </c>
      <c r="Y76" s="1"/>
      <c r="Z76" s="5">
        <f t="shared" ref="Z76:Z78" si="52">IF(T76=0,0,X76/T76)</f>
        <v>-0.9915602189781022</v>
      </c>
    </row>
    <row r="77" spans="1:26" s="24" customFormat="1" hidden="1" outlineLevel="2" x14ac:dyDescent="0.25">
      <c r="A77" s="26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6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1.1277112400707907E-2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2192</v>
      </c>
      <c r="U78" s="2"/>
      <c r="V78" s="6">
        <f t="shared" si="50"/>
        <v>1.6863224784016865E-2</v>
      </c>
      <c r="W78" s="2"/>
      <c r="X78" s="7">
        <f t="shared" si="51"/>
        <v>-2349.5</v>
      </c>
      <c r="Y78" s="2"/>
      <c r="Z78" s="6">
        <f t="shared" si="52"/>
        <v>-1.0718521897810218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1.2347203358439314E-2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3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2600</v>
      </c>
      <c r="U79" s="1"/>
      <c r="V79" s="5">
        <f t="shared" ref="V79:V83" si="58">IF(T$12=0,0,T79/T$12)</f>
        <v>2.0002000200020003E-2</v>
      </c>
      <c r="W79" s="1"/>
      <c r="X79" s="1">
        <f t="shared" ref="X79:X83" si="59">+P79-T79</f>
        <v>-707.73</v>
      </c>
      <c r="Y79" s="1"/>
      <c r="Z79" s="5">
        <f t="shared" ref="Z79:Z83" si="60">IF(T79=0,0,X79/T79)</f>
        <v>-0.27220384615384619</v>
      </c>
    </row>
    <row r="80" spans="1:26" s="24" customFormat="1" hidden="1" outlineLevel="2" x14ac:dyDescent="0.25">
      <c r="A80" s="26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8.2314689056262082E-3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1600</v>
      </c>
      <c r="U80" s="2"/>
      <c r="V80" s="6">
        <f t="shared" si="58"/>
        <v>1.2308923200012308E-2</v>
      </c>
      <c r="W80" s="2"/>
      <c r="X80" s="7">
        <f t="shared" si="59"/>
        <v>-1155.7</v>
      </c>
      <c r="Y80" s="2"/>
      <c r="Z80" s="6">
        <f t="shared" si="60"/>
        <v>-0.72231250000000002</v>
      </c>
    </row>
    <row r="81" spans="1:26" s="24" customFormat="1" hidden="1" outlineLevel="2" x14ac:dyDescent="0.25">
      <c r="A81" s="26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4.1157344528131041E-3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800</v>
      </c>
      <c r="U82" s="2"/>
      <c r="V82" s="6">
        <f t="shared" si="58"/>
        <v>6.1544616000061541E-3</v>
      </c>
      <c r="W82" s="2"/>
      <c r="X82" s="7">
        <f t="shared" si="59"/>
        <v>422.73</v>
      </c>
      <c r="Y82" s="2"/>
      <c r="Z82" s="6">
        <f t="shared" si="60"/>
        <v>0.52841250000000006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1.5386154000015385E-3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4.1157344528131041E-3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3"/>
      <c r="P84" s="1">
        <f>SUM(OSRRefP22_12x_0)</f>
        <v>525.04999999999995</v>
      </c>
      <c r="Q84" s="1"/>
      <c r="R84" s="5">
        <f t="shared" ref="R84:R86" si="65">IF(P$12=0,0,P84/P$12)</f>
        <v>2.4636447584262703E-2</v>
      </c>
      <c r="S84" s="1"/>
      <c r="T84" s="1">
        <f>SUM(OSRRefT22_12x_0)</f>
        <v>900</v>
      </c>
      <c r="U84" s="1"/>
      <c r="V84" s="5">
        <f t="shared" ref="V84:V86" si="66">IF(T$12=0,0,T84/T$12)</f>
        <v>6.9237693000069236E-3</v>
      </c>
      <c r="W84" s="1"/>
      <c r="X84" s="1">
        <f t="shared" ref="X84:X86" si="67">+P84-T84</f>
        <v>-374.95000000000005</v>
      </c>
      <c r="Y84" s="1"/>
      <c r="Z84" s="5">
        <f t="shared" ref="Z84:Z86" si="68">IF(T84=0,0,X84/T84)</f>
        <v>-0.41661111111111115</v>
      </c>
    </row>
    <row r="85" spans="1:26" s="24" customFormat="1" hidden="1" outlineLevel="2" x14ac:dyDescent="0.25">
      <c r="A85" s="26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4.1157344528131041E-3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900</v>
      </c>
      <c r="U85" s="2"/>
      <c r="V85" s="6">
        <f t="shared" si="66"/>
        <v>6.9237693000069236E-3</v>
      </c>
      <c r="W85" s="2"/>
      <c r="X85" s="7">
        <f t="shared" si="67"/>
        <v>-900</v>
      </c>
      <c r="Y85" s="2"/>
      <c r="Z85" s="6">
        <f t="shared" si="68"/>
        <v>-1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525.04999999999995</v>
      </c>
      <c r="Q86" s="2"/>
      <c r="R86" s="6">
        <f t="shared" si="65"/>
        <v>2.4636447584262703E-2</v>
      </c>
      <c r="S86" s="2"/>
      <c r="T86" s="7"/>
      <c r="U86" s="2"/>
      <c r="V86" s="6">
        <f t="shared" si="66"/>
        <v>0</v>
      </c>
      <c r="W86" s="2"/>
      <c r="X86" s="7">
        <f t="shared" si="67"/>
        <v>525.04999999999995</v>
      </c>
      <c r="Y86" s="2"/>
      <c r="Z86" s="6">
        <f t="shared" si="68"/>
        <v>0</v>
      </c>
    </row>
    <row r="87" spans="1:26" s="25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3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9.2316924000092316E-4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9.2316924000092316E-4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9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277</v>
      </c>
      <c r="C92" s="29"/>
      <c r="D92" s="20">
        <f>+D35-D37+D90</f>
        <v>-144.59</v>
      </c>
      <c r="E92" s="14"/>
      <c r="F92" s="21">
        <f>IF(D$12=0,0,D92/D$12)</f>
        <v>0</v>
      </c>
      <c r="G92" s="14"/>
      <c r="H92" s="20">
        <f>+H35-H37+H90</f>
        <v>-3608.0238099999988</v>
      </c>
      <c r="I92" s="14"/>
      <c r="J92" s="21">
        <f>IF(H$12=0,0,H92/H$12)</f>
        <v>-0.14849667901386998</v>
      </c>
      <c r="K92" s="16"/>
      <c r="L92" s="20">
        <f>+D92-H92</f>
        <v>3463.4338099999986</v>
      </c>
      <c r="M92" s="16"/>
      <c r="N92" s="21">
        <f>IF(H92=0,0,L92/H92)</f>
        <v>-0.95992543075817449</v>
      </c>
      <c r="O92" s="28"/>
      <c r="P92" s="20">
        <f>+P35-P37+P90</f>
        <v>-5109.4399999999932</v>
      </c>
      <c r="Q92" s="14"/>
      <c r="R92" s="21">
        <f>IF(P$12=0,0,P92/P$12)</f>
        <v>-0.23974564469085816</v>
      </c>
      <c r="S92" s="14"/>
      <c r="T92" s="20">
        <f>+T35-T37+T90</f>
        <v>-48959.74736400001</v>
      </c>
      <c r="U92" s="14"/>
      <c r="V92" s="21">
        <f>IF(T$12=0,0,T92/T$12)</f>
        <v>-0.37665110637217575</v>
      </c>
      <c r="W92" s="16"/>
      <c r="X92" s="20">
        <f>+P92-T92</f>
        <v>43850.307364000015</v>
      </c>
      <c r="Y92" s="16"/>
      <c r="Z92" s="21">
        <f>IF(T92=0,0,X92/T92)</f>
        <v>-0.89563998437302084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171.69</v>
      </c>
      <c r="E94" s="4"/>
      <c r="F94" s="12">
        <f>IF(D$12=0,0,D94/D$12)</f>
        <v>0</v>
      </c>
      <c r="G94" s="4"/>
      <c r="H94" s="4">
        <v>4619</v>
      </c>
      <c r="I94" s="4"/>
      <c r="J94" s="12">
        <f>IF(H$12=0,0,H94/H$12)</f>
        <v>0.1901057743754373</v>
      </c>
      <c r="K94" s="4"/>
      <c r="L94" s="4">
        <f>+D94-H94</f>
        <v>-4447.3100000000004</v>
      </c>
      <c r="M94" s="4"/>
      <c r="N94" s="12">
        <f>IF(H94=0,0,L94/H94)</f>
        <v>-0.96282961680017332</v>
      </c>
      <c r="O94" s="10"/>
      <c r="P94" s="4">
        <v>4392.21</v>
      </c>
      <c r="Q94" s="4"/>
      <c r="R94" s="12">
        <f>IF(P$12=0,0,P94/P$12)</f>
        <v>0.20609170830220835</v>
      </c>
      <c r="S94" s="4"/>
      <c r="T94" s="4">
        <v>26973</v>
      </c>
      <c r="U94" s="4"/>
      <c r="V94" s="12">
        <f>IF(T$12=0,0,T94/T$12)</f>
        <v>0.2075053659212075</v>
      </c>
      <c r="W94" s="4"/>
      <c r="X94" s="4">
        <f>+P94-T94</f>
        <v>-22580.79</v>
      </c>
      <c r="Y94" s="4"/>
      <c r="Z94" s="12">
        <f>IF(T94=0,0,X94/T94)</f>
        <v>-0.83716271827382938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126</v>
      </c>
      <c r="C96" s="29"/>
      <c r="D96" s="34">
        <f>+D92-D94</f>
        <v>-316.27999999999997</v>
      </c>
      <c r="E96" s="14"/>
      <c r="F96" s="30">
        <f>IF(D$12=0,0,D96/D$12)</f>
        <v>0</v>
      </c>
      <c r="G96" s="14"/>
      <c r="H96" s="34">
        <f>+H92-H94</f>
        <v>-8227.0238099999988</v>
      </c>
      <c r="I96" s="14"/>
      <c r="J96" s="30">
        <f>IF(H$12=0,0,H96/H$12)</f>
        <v>-0.33860245338930728</v>
      </c>
      <c r="K96" s="16"/>
      <c r="L96" s="34">
        <f>D96-H96</f>
        <v>7910.743809999999</v>
      </c>
      <c r="M96" s="16"/>
      <c r="N96" s="30">
        <f>IF(H96=0,0,L96/H96)</f>
        <v>-0.96155596394220233</v>
      </c>
      <c r="O96" s="28"/>
      <c r="P96" s="34">
        <f>+P92-P94</f>
        <v>-9501.6499999999942</v>
      </c>
      <c r="Q96" s="14"/>
      <c r="R96" s="30">
        <f>IF(P$12=0,0,P96/P$12)</f>
        <v>-0.44583735299306654</v>
      </c>
      <c r="S96" s="14"/>
      <c r="T96" s="34">
        <f>+T92-T94</f>
        <v>-75932.74736400001</v>
      </c>
      <c r="U96" s="14"/>
      <c r="V96" s="30">
        <f>IF(T$12=0,0,T96/T$12)</f>
        <v>-0.5841564722933833</v>
      </c>
      <c r="W96" s="16"/>
      <c r="X96" s="34">
        <f>P96-T96</f>
        <v>66431.097364000016</v>
      </c>
      <c r="Y96" s="16"/>
      <c r="Z96" s="30">
        <f>IF(T96=0,0,X96/T96)</f>
        <v>-0.87486755938841798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294</v>
      </c>
      <c r="C99" s="29"/>
      <c r="D99" s="31">
        <f>SUM(D96:D98)</f>
        <v>-316.27999999999997</v>
      </c>
      <c r="E99" s="14"/>
      <c r="F99" s="35">
        <f>IF(D$12=0,0,D99/D$12)</f>
        <v>0</v>
      </c>
      <c r="G99" s="14"/>
      <c r="H99" s="31">
        <f>SUM(H96:H98)</f>
        <v>-8227.0238099999988</v>
      </c>
      <c r="I99" s="14"/>
      <c r="J99" s="35">
        <f>IF(H$12=0,0,H99/H$12)</f>
        <v>-0.33860245338930728</v>
      </c>
      <c r="K99" s="16"/>
      <c r="L99" s="31">
        <f>+D99-H99</f>
        <v>7910.743809999999</v>
      </c>
      <c r="M99" s="16"/>
      <c r="N99" s="35">
        <f>IF(H99=0,0,L99/H99)</f>
        <v>-0.96155596394220233</v>
      </c>
      <c r="O99" s="28"/>
      <c r="P99" s="31">
        <f>SUM(P96:P98)</f>
        <v>-9501.6499999999942</v>
      </c>
      <c r="Q99" s="14"/>
      <c r="R99" s="35">
        <f>IF(P$12=0,0,P99/P$12)</f>
        <v>-0.44583735299306654</v>
      </c>
      <c r="S99" s="14"/>
      <c r="T99" s="31">
        <f>SUM(T96:T98)</f>
        <v>-75932.74736400001</v>
      </c>
      <c r="U99" s="14"/>
      <c r="V99" s="35">
        <f>IF(T$12=0,0,T99/T$12)</f>
        <v>-0.5841564722933833</v>
      </c>
      <c r="W99" s="16"/>
      <c r="X99" s="31">
        <f>+P99-T99</f>
        <v>66431.097364000016</v>
      </c>
      <c r="Y99" s="16"/>
      <c r="Z99" s="35">
        <f>IF(T99=0,0,X99/T99)</f>
        <v>-0.87486755938841798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>
        <v>44295.961797766206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3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4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14994.939999999999</v>
      </c>
      <c r="E12" s="4"/>
      <c r="F12" s="12"/>
      <c r="G12" s="4"/>
      <c r="H12" s="4">
        <f>SUM(OSRRefH13x_0)</f>
        <v>22097</v>
      </c>
      <c r="I12" s="4"/>
      <c r="J12" s="12"/>
      <c r="K12" s="4"/>
      <c r="L12" s="4">
        <f t="shared" ref="L12:L35" si="0">+D12-H12</f>
        <v>-7102.0600000000013</v>
      </c>
      <c r="M12" s="4"/>
      <c r="N12" s="12">
        <f t="shared" ref="N12:N35" si="1">IF(H12=0,0,L12/H12)</f>
        <v>-0.32140381047200983</v>
      </c>
      <c r="O12" s="10"/>
      <c r="P12" s="4">
        <f>SUM(OSRRefP13x_0)</f>
        <v>2653985.3899999997</v>
      </c>
      <c r="Q12" s="4"/>
      <c r="R12" s="12"/>
      <c r="S12" s="4"/>
      <c r="T12" s="4">
        <f>SUM(OSRRefT13x_0)</f>
        <v>4375229</v>
      </c>
      <c r="U12" s="4"/>
      <c r="V12" s="12"/>
      <c r="W12" s="4"/>
      <c r="X12" s="4">
        <f t="shared" ref="X12:X35" si="2">+P12-T12</f>
        <v>-1721243.6100000003</v>
      </c>
      <c r="Y12" s="4"/>
      <c r="Z12" s="12">
        <f t="shared" ref="Z12:Z35" si="3">IF(T12=0,0,X12/T12)</f>
        <v>-0.39340651883592842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-301.5</f>
        <v>-301.5</v>
      </c>
      <c r="E13" s="2"/>
      <c r="F13" s="19"/>
      <c r="G13" s="2"/>
      <c r="H13" s="2">
        <v>22097</v>
      </c>
      <c r="I13" s="2"/>
      <c r="J13" s="19"/>
      <c r="K13" s="2"/>
      <c r="L13" s="2">
        <f t="shared" si="0"/>
        <v>-22398.5</v>
      </c>
      <c r="M13" s="2"/>
      <c r="N13" s="19">
        <f t="shared" si="1"/>
        <v>-1.0136443861157622</v>
      </c>
      <c r="O13" s="11"/>
      <c r="P13" s="2">
        <f>-8358.81</f>
        <v>-8358.81</v>
      </c>
      <c r="Q13" s="2"/>
      <c r="R13" s="19"/>
      <c r="S13" s="2"/>
      <c r="T13" s="2">
        <v>4375229</v>
      </c>
      <c r="U13" s="2"/>
      <c r="V13" s="19"/>
      <c r="W13" s="2"/>
      <c r="X13" s="2">
        <f t="shared" si="2"/>
        <v>-4383587.8099999996</v>
      </c>
      <c r="Y13" s="2"/>
      <c r="Z13" s="19">
        <f t="shared" si="3"/>
        <v>-1.0019104851426062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--7739.23</f>
        <v>7739.23</v>
      </c>
      <c r="E14" s="2"/>
      <c r="F14" s="19"/>
      <c r="G14" s="2"/>
      <c r="H14" s="2"/>
      <c r="I14" s="2"/>
      <c r="J14" s="19"/>
      <c r="K14" s="2"/>
      <c r="L14" s="2">
        <f t="shared" si="0"/>
        <v>7739.23</v>
      </c>
      <c r="M14" s="2"/>
      <c r="N14" s="19">
        <f t="shared" si="1"/>
        <v>0</v>
      </c>
      <c r="O14" s="11"/>
      <c r="P14" s="2">
        <f>--1232463.24</f>
        <v>1232463.24</v>
      </c>
      <c r="Q14" s="2"/>
      <c r="R14" s="19"/>
      <c r="S14" s="2"/>
      <c r="T14" s="2"/>
      <c r="U14" s="2"/>
      <c r="V14" s="19"/>
      <c r="W14" s="2"/>
      <c r="X14" s="2">
        <f t="shared" si="2"/>
        <v>1232463.24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--1662.85</f>
        <v>1662.85</v>
      </c>
      <c r="E15" s="2"/>
      <c r="F15" s="19"/>
      <c r="G15" s="2"/>
      <c r="H15" s="2"/>
      <c r="I15" s="2"/>
      <c r="J15" s="19"/>
      <c r="K15" s="2"/>
      <c r="L15" s="2">
        <f t="shared" si="0"/>
        <v>1662.85</v>
      </c>
      <c r="M15" s="2"/>
      <c r="N15" s="19">
        <f t="shared" si="1"/>
        <v>0</v>
      </c>
      <c r="O15" s="11"/>
      <c r="P15" s="2">
        <f>--576797.33</f>
        <v>576797.32999999996</v>
      </c>
      <c r="Q15" s="2"/>
      <c r="R15" s="19"/>
      <c r="S15" s="2"/>
      <c r="T15" s="2"/>
      <c r="U15" s="2"/>
      <c r="V15" s="19"/>
      <c r="W15" s="2"/>
      <c r="X15" s="2">
        <f t="shared" si="2"/>
        <v>576797.32999999996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--2050.54</f>
        <v>2050.54</v>
      </c>
      <c r="E21" s="2"/>
      <c r="F21" s="19"/>
      <c r="G21" s="2"/>
      <c r="H21" s="2"/>
      <c r="I21" s="2"/>
      <c r="J21" s="19"/>
      <c r="K21" s="2"/>
      <c r="L21" s="2">
        <f t="shared" si="0"/>
        <v>2050.54</v>
      </c>
      <c r="M21" s="2"/>
      <c r="N21" s="19">
        <f t="shared" si="1"/>
        <v>0</v>
      </c>
      <c r="O21" s="11"/>
      <c r="P21" s="2">
        <f>--286224.1</f>
        <v>286224.09999999998</v>
      </c>
      <c r="Q21" s="2"/>
      <c r="R21" s="19"/>
      <c r="S21" s="2"/>
      <c r="T21" s="2"/>
      <c r="U21" s="2"/>
      <c r="V21" s="19"/>
      <c r="W21" s="2"/>
      <c r="X21" s="2">
        <f t="shared" si="2"/>
        <v>286224.09999999998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--1044.17</f>
        <v>1044.17</v>
      </c>
      <c r="E22" s="2"/>
      <c r="F22" s="19"/>
      <c r="G22" s="2"/>
      <c r="H22" s="2"/>
      <c r="I22" s="2"/>
      <c r="J22" s="19"/>
      <c r="K22" s="2"/>
      <c r="L22" s="2">
        <f t="shared" si="0"/>
        <v>1044.17</v>
      </c>
      <c r="M22" s="2"/>
      <c r="N22" s="19">
        <f t="shared" si="1"/>
        <v>0</v>
      </c>
      <c r="O22" s="11"/>
      <c r="P22" s="2">
        <f>--112055.71</f>
        <v>112055.71</v>
      </c>
      <c r="Q22" s="2"/>
      <c r="R22" s="19"/>
      <c r="S22" s="2"/>
      <c r="T22" s="2"/>
      <c r="U22" s="2"/>
      <c r="V22" s="19"/>
      <c r="W22" s="2"/>
      <c r="X22" s="2">
        <f t="shared" si="2"/>
        <v>112055.71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--1572.06</f>
        <v>1572.06</v>
      </c>
      <c r="E23" s="2"/>
      <c r="F23" s="19"/>
      <c r="G23" s="2"/>
      <c r="H23" s="2"/>
      <c r="I23" s="2"/>
      <c r="J23" s="19"/>
      <c r="K23" s="2"/>
      <c r="L23" s="2">
        <f t="shared" si="0"/>
        <v>1572.06</v>
      </c>
      <c r="M23" s="2"/>
      <c r="N23" s="19">
        <f t="shared" si="1"/>
        <v>0</v>
      </c>
      <c r="O23" s="11"/>
      <c r="P23" s="2">
        <f>--47959.43</f>
        <v>47959.43</v>
      </c>
      <c r="Q23" s="2"/>
      <c r="R23" s="19"/>
      <c r="S23" s="2"/>
      <c r="T23" s="2"/>
      <c r="U23" s="2"/>
      <c r="V23" s="19"/>
      <c r="W23" s="2"/>
      <c r="X23" s="2">
        <f t="shared" si="2"/>
        <v>47959.43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--1138.95</f>
        <v>1138.95</v>
      </c>
      <c r="Q24" s="2"/>
      <c r="R24" s="19"/>
      <c r="S24" s="2"/>
      <c r="T24" s="2"/>
      <c r="U24" s="2"/>
      <c r="V24" s="19"/>
      <c r="W24" s="2"/>
      <c r="X24" s="2">
        <f t="shared" si="2"/>
        <v>1138.95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--1097.13</f>
        <v>1097.1300000000001</v>
      </c>
      <c r="E25" s="2"/>
      <c r="F25" s="19"/>
      <c r="G25" s="2"/>
      <c r="H25" s="2"/>
      <c r="I25" s="2"/>
      <c r="J25" s="19"/>
      <c r="K25" s="2"/>
      <c r="L25" s="2">
        <f t="shared" si="0"/>
        <v>1097.1300000000001</v>
      </c>
      <c r="M25" s="2"/>
      <c r="N25" s="19">
        <f t="shared" si="1"/>
        <v>0</v>
      </c>
      <c r="O25" s="11"/>
      <c r="P25" s="2">
        <f>--476971.18</f>
        <v>476971.18</v>
      </c>
      <c r="Q25" s="2"/>
      <c r="R25" s="19"/>
      <c r="S25" s="2"/>
      <c r="T25" s="2"/>
      <c r="U25" s="2"/>
      <c r="V25" s="19"/>
      <c r="W25" s="2"/>
      <c r="X25" s="2">
        <f t="shared" si="2"/>
        <v>476971.18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--1250</f>
        <v>1250</v>
      </c>
      <c r="E26" s="2"/>
      <c r="F26" s="19"/>
      <c r="G26" s="2"/>
      <c r="H26" s="2"/>
      <c r="I26" s="2"/>
      <c r="J26" s="19"/>
      <c r="K26" s="2"/>
      <c r="L26" s="2">
        <f t="shared" si="0"/>
        <v>1250</v>
      </c>
      <c r="M26" s="2"/>
      <c r="N26" s="19">
        <f t="shared" si="1"/>
        <v>0</v>
      </c>
      <c r="O26" s="11"/>
      <c r="P26" s="2">
        <f>--11389.25</f>
        <v>11389.25</v>
      </c>
      <c r="Q26" s="2"/>
      <c r="R26" s="19"/>
      <c r="S26" s="2"/>
      <c r="T26" s="2"/>
      <c r="U26" s="2"/>
      <c r="V26" s="19"/>
      <c r="W26" s="2"/>
      <c r="X26" s="2">
        <f t="shared" si="2"/>
        <v>11389.25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--771.73</f>
        <v>771.73</v>
      </c>
      <c r="Q27" s="2"/>
      <c r="R27" s="19"/>
      <c r="S27" s="2"/>
      <c r="T27" s="2"/>
      <c r="U27" s="2"/>
      <c r="V27" s="19"/>
      <c r="W27" s="2"/>
      <c r="X27" s="2">
        <f t="shared" si="2"/>
        <v>771.73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-596.94</f>
        <v>-596.94000000000005</v>
      </c>
      <c r="E28" s="2"/>
      <c r="F28" s="19"/>
      <c r="G28" s="2"/>
      <c r="H28" s="2"/>
      <c r="I28" s="2"/>
      <c r="J28" s="19"/>
      <c r="K28" s="2"/>
      <c r="L28" s="2">
        <f t="shared" si="0"/>
        <v>-596.94000000000005</v>
      </c>
      <c r="M28" s="2"/>
      <c r="N28" s="19">
        <f t="shared" si="1"/>
        <v>0</v>
      </c>
      <c r="O28" s="11"/>
      <c r="P28" s="2">
        <f>-51261.17</f>
        <v>-51261.17</v>
      </c>
      <c r="Q28" s="2"/>
      <c r="R28" s="19"/>
      <c r="S28" s="2"/>
      <c r="T28" s="2"/>
      <c r="U28" s="2"/>
      <c r="V28" s="19"/>
      <c r="W28" s="2"/>
      <c r="X28" s="2">
        <f t="shared" si="2"/>
        <v>-51261.17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-153.8</f>
        <v>-153.80000000000001</v>
      </c>
      <c r="E29" s="2"/>
      <c r="F29" s="19"/>
      <c r="G29" s="2"/>
      <c r="H29" s="2"/>
      <c r="I29" s="2"/>
      <c r="J29" s="19"/>
      <c r="K29" s="2"/>
      <c r="L29" s="2">
        <f t="shared" si="0"/>
        <v>-153.80000000000001</v>
      </c>
      <c r="M29" s="2"/>
      <c r="N29" s="19">
        <f t="shared" si="1"/>
        <v>0</v>
      </c>
      <c r="O29" s="11"/>
      <c r="P29" s="2">
        <f>-19889.31</f>
        <v>-19889.310000000001</v>
      </c>
      <c r="Q29" s="2"/>
      <c r="R29" s="19"/>
      <c r="S29" s="2"/>
      <c r="T29" s="2"/>
      <c r="U29" s="2"/>
      <c r="V29" s="19"/>
      <c r="W29" s="2"/>
      <c r="X29" s="2">
        <f t="shared" si="2"/>
        <v>-19889.310000000001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 t="shared" ref="D30:D31" si="4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-1763.1</f>
        <v>-1763.1</v>
      </c>
      <c r="Q30" s="2"/>
      <c r="R30" s="19"/>
      <c r="S30" s="2"/>
      <c r="T30" s="2"/>
      <c r="U30" s="2"/>
      <c r="V30" s="19"/>
      <c r="W30" s="2"/>
      <c r="X30" s="2">
        <f t="shared" si="2"/>
        <v>-1763.1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-69.93</f>
        <v>-69.930000000000007</v>
      </c>
      <c r="Q31" s="2"/>
      <c r="R31" s="19"/>
      <c r="S31" s="2"/>
      <c r="T31" s="2"/>
      <c r="U31" s="2"/>
      <c r="V31" s="19"/>
      <c r="W31" s="2"/>
      <c r="X31" s="2">
        <f t="shared" si="2"/>
        <v>-69.930000000000007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>-5.21</f>
        <v>-5.21</v>
      </c>
      <c r="E32" s="2"/>
      <c r="F32" s="19"/>
      <c r="G32" s="2"/>
      <c r="H32" s="2"/>
      <c r="I32" s="2"/>
      <c r="J32" s="19"/>
      <c r="K32" s="2"/>
      <c r="L32" s="2">
        <f t="shared" si="0"/>
        <v>-5.21</v>
      </c>
      <c r="M32" s="2"/>
      <c r="N32" s="19">
        <f t="shared" si="1"/>
        <v>0</v>
      </c>
      <c r="O32" s="11"/>
      <c r="P32" s="2">
        <f>-5.21</f>
        <v>-5.21</v>
      </c>
      <c r="Q32" s="2"/>
      <c r="R32" s="19"/>
      <c r="S32" s="2"/>
      <c r="T32" s="2"/>
      <c r="U32" s="2"/>
      <c r="V32" s="19"/>
      <c r="W32" s="2"/>
      <c r="X32" s="2">
        <f t="shared" si="2"/>
        <v>-5.21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-3237.29</f>
        <v>-3237.29</v>
      </c>
      <c r="Q33" s="2"/>
      <c r="R33" s="19"/>
      <c r="S33" s="2"/>
      <c r="T33" s="2"/>
      <c r="U33" s="2"/>
      <c r="V33" s="19"/>
      <c r="W33" s="2"/>
      <c r="X33" s="2">
        <f t="shared" si="2"/>
        <v>-3237.29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-270.87</f>
        <v>-270.87</v>
      </c>
      <c r="E34" s="2"/>
      <c r="F34" s="19"/>
      <c r="G34" s="2"/>
      <c r="H34" s="2"/>
      <c r="I34" s="2"/>
      <c r="J34" s="19"/>
      <c r="K34" s="2"/>
      <c r="L34" s="2">
        <f t="shared" si="0"/>
        <v>-270.87</v>
      </c>
      <c r="M34" s="2"/>
      <c r="N34" s="19">
        <f t="shared" si="1"/>
        <v>0</v>
      </c>
      <c r="O34" s="11"/>
      <c r="P34" s="2">
        <f>-2344.35</f>
        <v>-2344.35</v>
      </c>
      <c r="Q34" s="2"/>
      <c r="R34" s="19"/>
      <c r="S34" s="2"/>
      <c r="T34" s="2"/>
      <c r="U34" s="2"/>
      <c r="V34" s="19"/>
      <c r="W34" s="2"/>
      <c r="X34" s="2">
        <f t="shared" si="2"/>
        <v>-2344.35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-275.04</f>
        <v>-275.04000000000002</v>
      </c>
      <c r="E35" s="2"/>
      <c r="F35" s="19"/>
      <c r="G35" s="2"/>
      <c r="H35" s="2"/>
      <c r="I35" s="2"/>
      <c r="J35" s="19"/>
      <c r="K35" s="2"/>
      <c r="L35" s="2">
        <f t="shared" si="0"/>
        <v>-275.04000000000002</v>
      </c>
      <c r="M35" s="2"/>
      <c r="N35" s="19">
        <f t="shared" si="1"/>
        <v>0</v>
      </c>
      <c r="O35" s="11"/>
      <c r="P35" s="2">
        <f>-27543.76</f>
        <v>-27543.759999999998</v>
      </c>
      <c r="Q35" s="2"/>
      <c r="R35" s="19"/>
      <c r="S35" s="2"/>
      <c r="T35" s="2"/>
      <c r="U35" s="2"/>
      <c r="V35" s="19"/>
      <c r="W35" s="2"/>
      <c r="X35" s="2">
        <f t="shared" si="2"/>
        <v>-27543.759999999998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257</v>
      </c>
      <c r="C37" s="10"/>
      <c r="D37" s="4">
        <f>SUM(OSRRefD16x_0)</f>
        <v>9743.3700000000135</v>
      </c>
      <c r="E37" s="4"/>
      <c r="F37" s="12">
        <f t="shared" ref="F37:F53" si="5">IF(D$12=0,0,D37/D$12)</f>
        <v>0.6497771915059356</v>
      </c>
      <c r="G37" s="4"/>
      <c r="H37" s="4">
        <f>SUM(OSRRefH16x_0)</f>
        <v>16113</v>
      </c>
      <c r="I37" s="4"/>
      <c r="J37" s="12">
        <f t="shared" ref="J37:J53" si="6">IF(H$12=0,0,H37/H$12)</f>
        <v>0.72919400823641223</v>
      </c>
      <c r="K37" s="4"/>
      <c r="L37" s="4">
        <f t="shared" ref="L37:L53" si="7">+D37-H37</f>
        <v>-6369.6299999999865</v>
      </c>
      <c r="M37" s="4"/>
      <c r="N37" s="12">
        <f t="shared" ref="N37:N53" si="8">IF(H37=0,0,L37/H37)</f>
        <v>-0.39530999813814849</v>
      </c>
      <c r="O37" s="10"/>
      <c r="P37" s="4">
        <f>SUM(OSRRefP16x_0)</f>
        <v>1873250.72</v>
      </c>
      <c r="Q37" s="4"/>
      <c r="R37" s="12">
        <f t="shared" ref="R37:R53" si="9">IF(P$12=0,0,P37/P$12)</f>
        <v>0.70582555844438921</v>
      </c>
      <c r="S37" s="4"/>
      <c r="T37" s="4">
        <f>SUM(OSRRefT16x_0)</f>
        <v>3182054</v>
      </c>
      <c r="U37" s="4"/>
      <c r="V37" s="12">
        <f t="shared" ref="V37:V53" si="10">IF(T$12=0,0,T37/T$12)</f>
        <v>0.72728856021021981</v>
      </c>
      <c r="W37" s="4"/>
      <c r="X37" s="4">
        <f t="shared" ref="X37:X53" si="11">+P37-T37</f>
        <v>-1308803.28</v>
      </c>
      <c r="Y37" s="4"/>
      <c r="Z37" s="12">
        <f t="shared" ref="Z37:Z53" si="12">IF(T37=0,0,X37/T37)</f>
        <v>-0.41130768993863714</v>
      </c>
    </row>
    <row r="38" spans="1:26" s="24" customFormat="1" hidden="1" outlineLevel="1" x14ac:dyDescent="0.25">
      <c r="A38" s="44"/>
      <c r="B38" s="11" t="str">
        <f>CONCATENATE("          ", "5000", " - ", "PURCHASES @ COST")</f>
        <v xml:space="preserve">          5000 - PURCHASES @ COST</v>
      </c>
      <c r="C38" s="11"/>
      <c r="D38" s="2">
        <v>0</v>
      </c>
      <c r="E38" s="2"/>
      <c r="F38" s="19">
        <f t="shared" si="5"/>
        <v>0</v>
      </c>
      <c r="G38" s="2"/>
      <c r="H38" s="2">
        <v>16113</v>
      </c>
      <c r="I38" s="2"/>
      <c r="J38" s="19">
        <f t="shared" si="6"/>
        <v>0.72919400823641223</v>
      </c>
      <c r="K38" s="2"/>
      <c r="L38" s="2">
        <f t="shared" si="7"/>
        <v>-16113</v>
      </c>
      <c r="M38" s="2"/>
      <c r="N38" s="19">
        <f t="shared" si="8"/>
        <v>-1</v>
      </c>
      <c r="O38" s="11"/>
      <c r="P38" s="2">
        <v>0</v>
      </c>
      <c r="Q38" s="2"/>
      <c r="R38" s="19">
        <f t="shared" si="9"/>
        <v>0</v>
      </c>
      <c r="S38" s="2"/>
      <c r="T38" s="2">
        <v>3182054</v>
      </c>
      <c r="U38" s="2"/>
      <c r="V38" s="19">
        <f t="shared" si="10"/>
        <v>0.72728856021021981</v>
      </c>
      <c r="W38" s="2"/>
      <c r="X38" s="2">
        <f t="shared" si="11"/>
        <v>-3182054</v>
      </c>
      <c r="Y38" s="2"/>
      <c r="Z38" s="19">
        <f t="shared" si="12"/>
        <v>-1</v>
      </c>
    </row>
    <row r="39" spans="1:26" s="24" customFormat="1" hidden="1" outlineLevel="1" x14ac:dyDescent="0.25">
      <c r="A39" s="44"/>
      <c r="B39" s="11" t="str">
        <f>CONCATENATE("          ", "5001", " - ", "PURCHASES @ COST-NEW TEXT")</f>
        <v xml:space="preserve">          5001 - PURCHASES @ COST-NEW TEXT</v>
      </c>
      <c r="C39" s="11"/>
      <c r="D39" s="2">
        <v>-290899.24</v>
      </c>
      <c r="E39" s="2"/>
      <c r="F39" s="19">
        <f t="shared" si="5"/>
        <v>-19.399826874932479</v>
      </c>
      <c r="G39" s="2"/>
      <c r="H39" s="2"/>
      <c r="I39" s="2"/>
      <c r="J39" s="19">
        <f t="shared" si="6"/>
        <v>0</v>
      </c>
      <c r="K39" s="2"/>
      <c r="L39" s="2">
        <f t="shared" si="7"/>
        <v>-290899.24</v>
      </c>
      <c r="M39" s="2"/>
      <c r="N39" s="19">
        <f t="shared" si="8"/>
        <v>0</v>
      </c>
      <c r="O39" s="11"/>
      <c r="P39" s="2">
        <v>1035516.4</v>
      </c>
      <c r="Q39" s="2"/>
      <c r="R39" s="19">
        <f t="shared" si="9"/>
        <v>0.39017411471130975</v>
      </c>
      <c r="S39" s="2"/>
      <c r="T39" s="2"/>
      <c r="U39" s="2"/>
      <c r="V39" s="19">
        <f t="shared" si="10"/>
        <v>0</v>
      </c>
      <c r="W39" s="2"/>
      <c r="X39" s="2">
        <f t="shared" si="11"/>
        <v>1035516.4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"5002", " - ", "PURCHASES @ COST-USED TEXT")</f>
        <v xml:space="preserve">          5002 - PURCHASES @ COST-USED TEXT</v>
      </c>
      <c r="C40" s="11"/>
      <c r="D40" s="2">
        <v>14728.45</v>
      </c>
      <c r="E40" s="2"/>
      <c r="F40" s="19">
        <f t="shared" si="5"/>
        <v>0.98222800491365769</v>
      </c>
      <c r="G40" s="2"/>
      <c r="H40" s="2"/>
      <c r="I40" s="2"/>
      <c r="J40" s="19">
        <f t="shared" si="6"/>
        <v>0</v>
      </c>
      <c r="K40" s="2"/>
      <c r="L40" s="2">
        <f t="shared" si="7"/>
        <v>14728.45</v>
      </c>
      <c r="M40" s="2"/>
      <c r="N40" s="19">
        <f t="shared" si="8"/>
        <v>0</v>
      </c>
      <c r="O40" s="11"/>
      <c r="P40" s="2">
        <v>397052.67</v>
      </c>
      <c r="Q40" s="2"/>
      <c r="R40" s="19">
        <f t="shared" si="9"/>
        <v>0.14960620035666436</v>
      </c>
      <c r="S40" s="2"/>
      <c r="T40" s="2"/>
      <c r="U40" s="2"/>
      <c r="V40" s="19">
        <f t="shared" si="10"/>
        <v>0</v>
      </c>
      <c r="W40" s="2"/>
      <c r="X40" s="2">
        <f t="shared" si="11"/>
        <v>397052.67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"5003", " - ", "PURCHASES @ COST-RENTAL TEXT")</f>
        <v xml:space="preserve">          5003 - PURCHASES @ COST-RENTAL TEXT</v>
      </c>
      <c r="C41" s="11"/>
      <c r="D41" s="2"/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0</v>
      </c>
      <c r="M41" s="2"/>
      <c r="N41" s="19">
        <f t="shared" si="8"/>
        <v>0</v>
      </c>
      <c r="O41" s="11"/>
      <c r="P41" s="2">
        <v>32.520000000000003</v>
      </c>
      <c r="Q41" s="2"/>
      <c r="R41" s="19">
        <f t="shared" si="9"/>
        <v>1.2253270165891911E-5</v>
      </c>
      <c r="S41" s="2"/>
      <c r="T41" s="2"/>
      <c r="U41" s="2"/>
      <c r="V41" s="19">
        <f t="shared" si="10"/>
        <v>0</v>
      </c>
      <c r="W41" s="2"/>
      <c r="X41" s="2">
        <f t="shared" si="11"/>
        <v>32.520000000000003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-13446.08</v>
      </c>
      <c r="E42" s="2"/>
      <c r="F42" s="19">
        <f t="shared" si="5"/>
        <v>-0.89670782277221528</v>
      </c>
      <c r="G42" s="2"/>
      <c r="H42" s="2"/>
      <c r="I42" s="2"/>
      <c r="J42" s="19">
        <f t="shared" si="6"/>
        <v>0</v>
      </c>
      <c r="K42" s="2"/>
      <c r="L42" s="2">
        <f t="shared" si="7"/>
        <v>-13446.08</v>
      </c>
      <c r="M42" s="2"/>
      <c r="N42" s="19">
        <f t="shared" si="8"/>
        <v>0</v>
      </c>
      <c r="O42" s="11"/>
      <c r="P42" s="2">
        <v>206562.5</v>
      </c>
      <c r="Q42" s="2"/>
      <c r="R42" s="19">
        <f t="shared" si="9"/>
        <v>7.7831061458857556E-2</v>
      </c>
      <c r="S42" s="2"/>
      <c r="T42" s="2"/>
      <c r="U42" s="2"/>
      <c r="V42" s="19">
        <f t="shared" si="10"/>
        <v>0</v>
      </c>
      <c r="W42" s="2"/>
      <c r="X42" s="2">
        <f t="shared" si="11"/>
        <v>206562.5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"5011", " - ", "PURCHASES @ COST-NO VALUE TEXT")</f>
        <v xml:space="preserve">          5011 - PURCHASES @ COST-NO VALUE TEXT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67.17</v>
      </c>
      <c r="Q43" s="2"/>
      <c r="R43" s="19">
        <f t="shared" si="9"/>
        <v>2.530910692014021E-5</v>
      </c>
      <c r="S43" s="2"/>
      <c r="T43" s="2"/>
      <c r="U43" s="2"/>
      <c r="V43" s="19">
        <f t="shared" si="10"/>
        <v>0</v>
      </c>
      <c r="W43" s="2"/>
      <c r="X43" s="2">
        <f t="shared" si="11"/>
        <v>67.17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"5013", " - ", "PURCHASES @ COST-TRADE BOOKS")</f>
        <v xml:space="preserve">          5013 - PURCHASES @ COST-TRADE BOOKS</v>
      </c>
      <c r="C44" s="11"/>
      <c r="D44" s="2">
        <v>2907.93</v>
      </c>
      <c r="E44" s="2"/>
      <c r="F44" s="19">
        <f t="shared" si="5"/>
        <v>0.1939274181824002</v>
      </c>
      <c r="G44" s="2"/>
      <c r="H44" s="2"/>
      <c r="I44" s="2"/>
      <c r="J44" s="19">
        <f t="shared" si="6"/>
        <v>0</v>
      </c>
      <c r="K44" s="2"/>
      <c r="L44" s="2">
        <f t="shared" si="7"/>
        <v>2907.93</v>
      </c>
      <c r="M44" s="2"/>
      <c r="N44" s="19">
        <f t="shared" si="8"/>
        <v>0</v>
      </c>
      <c r="O44" s="11"/>
      <c r="P44" s="2">
        <v>8870.02</v>
      </c>
      <c r="Q44" s="2"/>
      <c r="R44" s="19">
        <f t="shared" si="9"/>
        <v>3.3421510281938672E-3</v>
      </c>
      <c r="S44" s="2"/>
      <c r="T44" s="2"/>
      <c r="U44" s="2"/>
      <c r="V44" s="19">
        <f t="shared" si="10"/>
        <v>0</v>
      </c>
      <c r="W44" s="2"/>
      <c r="X44" s="2">
        <f t="shared" si="11"/>
        <v>8870.02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111.57</v>
      </c>
      <c r="Q45" s="2"/>
      <c r="R45" s="19">
        <f t="shared" si="9"/>
        <v>4.2038663973202957E-5</v>
      </c>
      <c r="S45" s="2"/>
      <c r="T45" s="2"/>
      <c r="U45" s="2"/>
      <c r="V45" s="19">
        <f t="shared" si="10"/>
        <v>0</v>
      </c>
      <c r="W45" s="2"/>
      <c r="X45" s="2">
        <f t="shared" si="11"/>
        <v>111.57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"5018", " - ", "PURCHASES @ COST-STUDY GUIDES")</f>
        <v xml:space="preserve">          5018 - PURCHASES @ COST-STUDY GUIDES</v>
      </c>
      <c r="C46" s="11"/>
      <c r="D46" s="2">
        <v>444.87</v>
      </c>
      <c r="E46" s="2"/>
      <c r="F46" s="19">
        <f t="shared" si="5"/>
        <v>2.9668008008034714E-2</v>
      </c>
      <c r="G46" s="2"/>
      <c r="H46" s="2"/>
      <c r="I46" s="2"/>
      <c r="J46" s="19">
        <f t="shared" si="6"/>
        <v>0</v>
      </c>
      <c r="K46" s="2"/>
      <c r="L46" s="2">
        <f t="shared" si="7"/>
        <v>444.87</v>
      </c>
      <c r="M46" s="2"/>
      <c r="N46" s="19">
        <f t="shared" si="8"/>
        <v>0</v>
      </c>
      <c r="O46" s="11"/>
      <c r="P46" s="2">
        <v>967.21</v>
      </c>
      <c r="Q46" s="2"/>
      <c r="R46" s="19">
        <f t="shared" si="9"/>
        <v>3.6443682156064926E-4</v>
      </c>
      <c r="S46" s="2"/>
      <c r="T46" s="2"/>
      <c r="U46" s="2"/>
      <c r="V46" s="19">
        <f t="shared" si="10"/>
        <v>0</v>
      </c>
      <c r="W46" s="2"/>
      <c r="X46" s="2">
        <f t="shared" si="11"/>
        <v>967.21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285586.77</v>
      </c>
      <c r="E47" s="2"/>
      <c r="F47" s="19">
        <f t="shared" si="5"/>
        <v>19.045542696402922</v>
      </c>
      <c r="G47" s="2"/>
      <c r="H47" s="2"/>
      <c r="I47" s="2"/>
      <c r="J47" s="19">
        <f t="shared" si="6"/>
        <v>0</v>
      </c>
      <c r="K47" s="2"/>
      <c r="L47" s="2">
        <f t="shared" si="7"/>
        <v>285586.77</v>
      </c>
      <c r="M47" s="2"/>
      <c r="N47" s="19">
        <f t="shared" si="8"/>
        <v>0</v>
      </c>
      <c r="O47" s="11"/>
      <c r="P47" s="2">
        <v>-1174214.1299999999</v>
      </c>
      <c r="Q47" s="2"/>
      <c r="R47" s="19">
        <f t="shared" si="9"/>
        <v>-0.44243428559341091</v>
      </c>
      <c r="S47" s="2"/>
      <c r="T47" s="2"/>
      <c r="U47" s="2"/>
      <c r="V47" s="19">
        <f t="shared" si="10"/>
        <v>0</v>
      </c>
      <c r="W47" s="2"/>
      <c r="X47" s="2">
        <f t="shared" si="11"/>
        <v>-1174214.1299999999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8920</v>
      </c>
      <c r="E48" s="2"/>
      <c r="F48" s="19">
        <f t="shared" si="5"/>
        <v>0.59486733524775692</v>
      </c>
      <c r="G48" s="2"/>
      <c r="H48" s="2"/>
      <c r="I48" s="2"/>
      <c r="J48" s="19">
        <f t="shared" si="6"/>
        <v>0</v>
      </c>
      <c r="K48" s="2"/>
      <c r="L48" s="2">
        <f t="shared" si="7"/>
        <v>8920</v>
      </c>
      <c r="M48" s="2"/>
      <c r="N48" s="19">
        <f t="shared" si="8"/>
        <v>0</v>
      </c>
      <c r="O48" s="11"/>
      <c r="P48" s="2">
        <v>1330328</v>
      </c>
      <c r="Q48" s="2"/>
      <c r="R48" s="19">
        <f t="shared" si="9"/>
        <v>0.50125671565961416</v>
      </c>
      <c r="S48" s="2"/>
      <c r="T48" s="2"/>
      <c r="U48" s="2"/>
      <c r="V48" s="19">
        <f t="shared" si="10"/>
        <v>0</v>
      </c>
      <c r="W48" s="2"/>
      <c r="X48" s="2">
        <f t="shared" si="11"/>
        <v>1330328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0</v>
      </c>
      <c r="Q49" s="2"/>
      <c r="R49" s="19">
        <f t="shared" si="9"/>
        <v>0</v>
      </c>
      <c r="S49" s="2"/>
      <c r="T49" s="2"/>
      <c r="U49" s="2"/>
      <c r="V49" s="19">
        <f t="shared" si="10"/>
        <v>0</v>
      </c>
      <c r="W49" s="2"/>
      <c r="X49" s="2">
        <f t="shared" si="11"/>
        <v>0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785.54</v>
      </c>
      <c r="E50" s="2"/>
      <c r="F50" s="19">
        <f t="shared" si="5"/>
        <v>5.2387005216426343E-2</v>
      </c>
      <c r="G50" s="2"/>
      <c r="H50" s="2"/>
      <c r="I50" s="2"/>
      <c r="J50" s="19">
        <f t="shared" si="6"/>
        <v>0</v>
      </c>
      <c r="K50" s="2"/>
      <c r="L50" s="2">
        <f t="shared" si="7"/>
        <v>785.54</v>
      </c>
      <c r="M50" s="2"/>
      <c r="N50" s="19">
        <f t="shared" si="8"/>
        <v>0</v>
      </c>
      <c r="O50" s="11"/>
      <c r="P50" s="2">
        <v>50042.46</v>
      </c>
      <c r="Q50" s="2"/>
      <c r="R50" s="19">
        <f t="shared" si="9"/>
        <v>1.8855589856883126E-2</v>
      </c>
      <c r="S50" s="2"/>
      <c r="T50" s="2"/>
      <c r="U50" s="2"/>
      <c r="V50" s="19">
        <f t="shared" si="10"/>
        <v>0</v>
      </c>
      <c r="W50" s="2"/>
      <c r="X50" s="2">
        <f t="shared" si="11"/>
        <v>50042.46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>
        <v>663.37</v>
      </c>
      <c r="E51" s="2"/>
      <c r="F51" s="19">
        <f t="shared" si="5"/>
        <v>4.4239590155078987E-2</v>
      </c>
      <c r="G51" s="2"/>
      <c r="H51" s="2"/>
      <c r="I51" s="2"/>
      <c r="J51" s="19">
        <f t="shared" si="6"/>
        <v>0</v>
      </c>
      <c r="K51" s="2"/>
      <c r="L51" s="2">
        <f t="shared" si="7"/>
        <v>663.37</v>
      </c>
      <c r="M51" s="2"/>
      <c r="N51" s="19">
        <f t="shared" si="8"/>
        <v>0</v>
      </c>
      <c r="O51" s="11"/>
      <c r="P51" s="2">
        <v>17800.13</v>
      </c>
      <c r="Q51" s="2"/>
      <c r="R51" s="19">
        <f t="shared" si="9"/>
        <v>6.7069434771831974E-3</v>
      </c>
      <c r="S51" s="2"/>
      <c r="T51" s="2"/>
      <c r="U51" s="2"/>
      <c r="V51" s="19">
        <f t="shared" si="10"/>
        <v>0</v>
      </c>
      <c r="W51" s="2"/>
      <c r="X51" s="2">
        <f t="shared" si="11"/>
        <v>17800.13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28.92</v>
      </c>
      <c r="Q52" s="2"/>
      <c r="R52" s="19">
        <f t="shared" si="9"/>
        <v>1.0896819594021957E-5</v>
      </c>
      <c r="S52" s="2"/>
      <c r="T52" s="2"/>
      <c r="U52" s="2"/>
      <c r="V52" s="19">
        <f t="shared" si="10"/>
        <v>0</v>
      </c>
      <c r="W52" s="2"/>
      <c r="X52" s="2">
        <f t="shared" si="11"/>
        <v>28.92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"5513", " - ", "FREIGHT-IN-TRADE BOOKS")</f>
        <v xml:space="preserve">          5513 - FREIGHT-IN-TRADE BOOKS</v>
      </c>
      <c r="C53" s="11"/>
      <c r="D53" s="2">
        <v>51.76</v>
      </c>
      <c r="E53" s="2"/>
      <c r="F53" s="19">
        <f t="shared" si="5"/>
        <v>3.451831084352455E-3</v>
      </c>
      <c r="G53" s="2"/>
      <c r="H53" s="2"/>
      <c r="I53" s="2"/>
      <c r="J53" s="19">
        <f t="shared" si="6"/>
        <v>0</v>
      </c>
      <c r="K53" s="2"/>
      <c r="L53" s="2">
        <f t="shared" si="7"/>
        <v>51.76</v>
      </c>
      <c r="M53" s="2"/>
      <c r="N53" s="19">
        <f t="shared" si="8"/>
        <v>0</v>
      </c>
      <c r="O53" s="11"/>
      <c r="P53" s="2">
        <v>85.28</v>
      </c>
      <c r="Q53" s="2"/>
      <c r="R53" s="19">
        <f t="shared" si="9"/>
        <v>3.2132806880297112E-5</v>
      </c>
      <c r="S53" s="2"/>
      <c r="T53" s="2"/>
      <c r="U53" s="2"/>
      <c r="V53" s="19">
        <f t="shared" si="10"/>
        <v>0</v>
      </c>
      <c r="W53" s="2"/>
      <c r="X53" s="2">
        <f t="shared" si="11"/>
        <v>85.28</v>
      </c>
      <c r="Y53" s="2"/>
      <c r="Z53" s="19">
        <f t="shared" si="12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108</v>
      </c>
      <c r="C55" s="29"/>
      <c r="D55" s="20">
        <f>D12-D37</f>
        <v>5251.5699999999852</v>
      </c>
      <c r="E55" s="14"/>
      <c r="F55" s="21">
        <f>IF(D$12=0,0,D55/D$12)</f>
        <v>0.3502228084940644</v>
      </c>
      <c r="G55" s="14"/>
      <c r="H55" s="20">
        <f>H12-H37</f>
        <v>5984</v>
      </c>
      <c r="I55" s="14"/>
      <c r="J55" s="21">
        <f>IF(H$12=0,0,H55/H$12)</f>
        <v>0.27080599176358783</v>
      </c>
      <c r="K55" s="16"/>
      <c r="L55" s="20">
        <f>+D55-H55</f>
        <v>-732.43000000001484</v>
      </c>
      <c r="M55" s="16"/>
      <c r="N55" s="21">
        <f>IF(H55=0,0,L55/H55)</f>
        <v>-0.12239806149732868</v>
      </c>
      <c r="O55" s="28"/>
      <c r="P55" s="20">
        <f>P12-P37</f>
        <v>780734.66999999969</v>
      </c>
      <c r="Q55" s="14"/>
      <c r="R55" s="21">
        <f>IF(P$12=0,0,P55/P$12)</f>
        <v>0.29417444155561073</v>
      </c>
      <c r="S55" s="14"/>
      <c r="T55" s="20">
        <f>T12-T37</f>
        <v>1193175</v>
      </c>
      <c r="U55" s="14"/>
      <c r="V55" s="21">
        <f>IF(T$12=0,0,T55/T$12)</f>
        <v>0.27271143978978013</v>
      </c>
      <c r="W55" s="16"/>
      <c r="X55" s="20">
        <f>+P55-T55</f>
        <v>-412440.33000000031</v>
      </c>
      <c r="Y55" s="16"/>
      <c r="Z55" s="21">
        <f>IF(T55=0,0,X55/T55)</f>
        <v>-0.34566625180715344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295</v>
      </c>
      <c r="C57" s="10"/>
      <c r="D57" s="22">
        <f>SUM(OSRRefD22x_0)</f>
        <v>47009.95</v>
      </c>
      <c r="E57" s="22"/>
      <c r="F57" s="32">
        <f t="shared" ref="F57:F68" si="13">IF(D$12=0,0,D57/D$12)</f>
        <v>3.1350542249585529</v>
      </c>
      <c r="G57" s="22"/>
      <c r="H57" s="22">
        <f>SUM(OSRRefH22x_0)</f>
        <v>45735.565417611528</v>
      </c>
      <c r="I57" s="22"/>
      <c r="J57" s="32">
        <f t="shared" ref="J57:J68" si="14">IF(H$12=0,0,H57/H$12)</f>
        <v>2.0697635614613534</v>
      </c>
      <c r="K57" s="4"/>
      <c r="L57" s="22">
        <f t="shared" ref="L57:L68" si="15">+D57-H57</f>
        <v>1274.3845823884694</v>
      </c>
      <c r="M57" s="4"/>
      <c r="N57" s="32">
        <f t="shared" ref="N57:N68" si="16">IF(H57=0,0,L57/H57)</f>
        <v>2.7864192139138579E-2</v>
      </c>
      <c r="O57" s="10"/>
      <c r="P57" s="22">
        <f>SUM(OSRRefP22x_0)</f>
        <v>409270.19</v>
      </c>
      <c r="Q57" s="22"/>
      <c r="R57" s="32">
        <f t="shared" ref="R57:R68" si="17">IF(P$12=0,0,P57/P$12)</f>
        <v>0.15420966202078454</v>
      </c>
      <c r="S57" s="22"/>
      <c r="T57" s="22">
        <f>SUM(OSRRefT22x_0)</f>
        <v>504876.85674814996</v>
      </c>
      <c r="U57" s="22"/>
      <c r="V57" s="32">
        <f t="shared" ref="V57:V68" si="18">IF(T$12=0,0,T57/T$12)</f>
        <v>0.11539438432780318</v>
      </c>
      <c r="W57" s="4"/>
      <c r="X57" s="22">
        <f t="shared" ref="X57:X68" si="19">+P57-T57</f>
        <v>-95606.666748149961</v>
      </c>
      <c r="Y57" s="4"/>
      <c r="Z57" s="32">
        <f t="shared" ref="Z57:Z68" si="20">IF(T57=0,0,X57/T57)</f>
        <v>-0.18936630877466001</v>
      </c>
    </row>
    <row r="58" spans="1:26" s="25" customFormat="1" outlineLevel="1" collapsed="1" x14ac:dyDescent="0.25">
      <c r="A58" s="27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12084.359999999999</v>
      </c>
      <c r="E58" s="1"/>
      <c r="F58" s="5">
        <f t="shared" si="13"/>
        <v>0.80589585553526721</v>
      </c>
      <c r="G58" s="1"/>
      <c r="H58" s="1">
        <f>SUM(OSRRefH22_0x_0)</f>
        <v>11275.000773919228</v>
      </c>
      <c r="I58" s="1"/>
      <c r="J58" s="5">
        <f t="shared" si="14"/>
        <v>0.51025029524004295</v>
      </c>
      <c r="K58" s="1"/>
      <c r="L58" s="1">
        <f t="shared" si="15"/>
        <v>809.3592260807709</v>
      </c>
      <c r="M58" s="1"/>
      <c r="N58" s="5">
        <f t="shared" si="16"/>
        <v>7.1783518450210707E-2</v>
      </c>
      <c r="O58" s="13"/>
      <c r="P58" s="1">
        <f>SUM(OSRRefP22_0x_0)</f>
        <v>105810.70000000001</v>
      </c>
      <c r="Q58" s="1"/>
      <c r="R58" s="5">
        <f t="shared" si="17"/>
        <v>3.9868606812488903E-2</v>
      </c>
      <c r="S58" s="1"/>
      <c r="T58" s="1">
        <f>SUM(OSRRefT22_0x_0)</f>
        <v>112578.96459715001</v>
      </c>
      <c r="U58" s="1"/>
      <c r="V58" s="5">
        <f t="shared" si="18"/>
        <v>2.573098793163741E-2</v>
      </c>
      <c r="W58" s="1"/>
      <c r="X58" s="1">
        <f t="shared" si="19"/>
        <v>-6768.2645971500024</v>
      </c>
      <c r="Y58" s="1"/>
      <c r="Z58" s="5">
        <f t="shared" si="20"/>
        <v>-6.0120153186427015E-2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7">
        <v>1910.57</v>
      </c>
      <c r="E59" s="2"/>
      <c r="F59" s="6">
        <f t="shared" si="13"/>
        <v>0.12741431442873397</v>
      </c>
      <c r="G59" s="2"/>
      <c r="H59" s="7">
        <v>1568.3171629384599</v>
      </c>
      <c r="I59" s="2"/>
      <c r="J59" s="6">
        <f t="shared" si="14"/>
        <v>7.0974212016946189E-2</v>
      </c>
      <c r="K59" s="2"/>
      <c r="L59" s="7">
        <f t="shared" si="15"/>
        <v>342.25283706154005</v>
      </c>
      <c r="M59" s="2"/>
      <c r="N59" s="6">
        <f t="shared" si="16"/>
        <v>0.21822935127502008</v>
      </c>
      <c r="O59" s="11"/>
      <c r="P59" s="7">
        <v>18911.77</v>
      </c>
      <c r="Q59" s="2"/>
      <c r="R59" s="6">
        <f t="shared" si="17"/>
        <v>7.1258003421036178E-3</v>
      </c>
      <c r="S59" s="2"/>
      <c r="T59" s="7">
        <v>17475.324545775002</v>
      </c>
      <c r="U59" s="2"/>
      <c r="V59" s="6">
        <f t="shared" si="18"/>
        <v>3.9941508309107943E-3</v>
      </c>
      <c r="W59" s="2"/>
      <c r="X59" s="7">
        <f t="shared" si="19"/>
        <v>1436.4454542249987</v>
      </c>
      <c r="Y59" s="2"/>
      <c r="Z59" s="6">
        <f t="shared" si="20"/>
        <v>8.2198499401963165E-2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7">
        <v>103.76</v>
      </c>
      <c r="E60" s="2"/>
      <c r="F60" s="6">
        <f t="shared" si="13"/>
        <v>6.9196675678595589E-3</v>
      </c>
      <c r="G60" s="2"/>
      <c r="H60" s="7">
        <v>489.23997471153803</v>
      </c>
      <c r="I60" s="2"/>
      <c r="J60" s="6">
        <f t="shared" si="14"/>
        <v>2.2140560922819297E-2</v>
      </c>
      <c r="K60" s="2"/>
      <c r="L60" s="7">
        <f t="shared" si="15"/>
        <v>-385.47997471153803</v>
      </c>
      <c r="M60" s="2"/>
      <c r="N60" s="6">
        <f t="shared" si="16"/>
        <v>-0.7879159403088879</v>
      </c>
      <c r="O60" s="11"/>
      <c r="P60" s="7">
        <v>1047.72</v>
      </c>
      <c r="Q60" s="2"/>
      <c r="R60" s="6">
        <f t="shared" si="17"/>
        <v>3.947723314332187E-4</v>
      </c>
      <c r="S60" s="2"/>
      <c r="T60" s="7">
        <v>6074.222035625</v>
      </c>
      <c r="U60" s="2"/>
      <c r="V60" s="6">
        <f t="shared" si="18"/>
        <v>1.3883209394582546E-3</v>
      </c>
      <c r="W60" s="2"/>
      <c r="X60" s="7">
        <f t="shared" si="19"/>
        <v>-5026.5020356249997</v>
      </c>
      <c r="Y60" s="2"/>
      <c r="Z60" s="6">
        <f t="shared" si="20"/>
        <v>-0.82751371387888417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7">
        <v>4943.91</v>
      </c>
      <c r="E61" s="2"/>
      <c r="F61" s="6">
        <f t="shared" si="13"/>
        <v>0.32970522056106927</v>
      </c>
      <c r="G61" s="2"/>
      <c r="H61" s="7">
        <v>4662.6923076923104</v>
      </c>
      <c r="I61" s="2"/>
      <c r="J61" s="6">
        <f t="shared" si="14"/>
        <v>0.21101019630231752</v>
      </c>
      <c r="K61" s="2"/>
      <c r="L61" s="7">
        <f t="shared" si="15"/>
        <v>281.2176923076895</v>
      </c>
      <c r="M61" s="2"/>
      <c r="N61" s="6">
        <f t="shared" si="16"/>
        <v>6.0312298935906318E-2</v>
      </c>
      <c r="O61" s="11"/>
      <c r="P61" s="7">
        <v>40219.949999999997</v>
      </c>
      <c r="Q61" s="2"/>
      <c r="R61" s="6">
        <f t="shared" si="17"/>
        <v>1.5154548382800254E-2</v>
      </c>
      <c r="S61" s="2"/>
      <c r="T61" s="7">
        <v>42885</v>
      </c>
      <c r="U61" s="2"/>
      <c r="V61" s="6">
        <f t="shared" si="18"/>
        <v>9.8017726614995464E-3</v>
      </c>
      <c r="W61" s="2"/>
      <c r="X61" s="7">
        <f t="shared" si="19"/>
        <v>-2665.0500000000029</v>
      </c>
      <c r="Y61" s="2"/>
      <c r="Z61" s="6">
        <f t="shared" si="20"/>
        <v>-6.2144106330884991E-2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7">
        <v>70.17</v>
      </c>
      <c r="E62" s="2"/>
      <c r="F62" s="6">
        <f t="shared" si="13"/>
        <v>4.6795785778402585E-3</v>
      </c>
      <c r="G62" s="2"/>
      <c r="H62" s="7">
        <v>68.758050499999996</v>
      </c>
      <c r="I62" s="2"/>
      <c r="J62" s="6">
        <f t="shared" si="14"/>
        <v>3.1116463999637956E-3</v>
      </c>
      <c r="K62" s="2"/>
      <c r="L62" s="7">
        <f t="shared" si="15"/>
        <v>1.4119495000000057</v>
      </c>
      <c r="M62" s="2"/>
      <c r="N62" s="6">
        <f t="shared" si="16"/>
        <v>2.0535042656568716E-2</v>
      </c>
      <c r="O62" s="11"/>
      <c r="P62" s="7">
        <v>670.86</v>
      </c>
      <c r="Q62" s="2"/>
      <c r="R62" s="6">
        <f t="shared" si="17"/>
        <v>2.5277456406796577E-4</v>
      </c>
      <c r="S62" s="2"/>
      <c r="T62" s="7">
        <v>853.67444824999995</v>
      </c>
      <c r="U62" s="2"/>
      <c r="V62" s="6">
        <f t="shared" si="18"/>
        <v>1.9511537527521416E-4</v>
      </c>
      <c r="W62" s="2"/>
      <c r="X62" s="7">
        <f t="shared" si="19"/>
        <v>-182.81444824999994</v>
      </c>
      <c r="Y62" s="2"/>
      <c r="Z62" s="6">
        <f t="shared" si="20"/>
        <v>-0.21415007632565622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7">
        <v>1783.22</v>
      </c>
      <c r="E63" s="2"/>
      <c r="F63" s="6">
        <f t="shared" si="13"/>
        <v>0.11892144950229878</v>
      </c>
      <c r="G63" s="2"/>
      <c r="H63" s="7">
        <v>1268.5379723076901</v>
      </c>
      <c r="I63" s="2"/>
      <c r="J63" s="6">
        <f t="shared" si="14"/>
        <v>5.7407701149825317E-2</v>
      </c>
      <c r="K63" s="2"/>
      <c r="L63" s="7">
        <f t="shared" si="15"/>
        <v>514.68202769230993</v>
      </c>
      <c r="M63" s="2"/>
      <c r="N63" s="6">
        <f t="shared" si="16"/>
        <v>0.40572851497382789</v>
      </c>
      <c r="O63" s="11"/>
      <c r="P63" s="7">
        <v>16741.73</v>
      </c>
      <c r="Q63" s="2"/>
      <c r="R63" s="6">
        <f t="shared" si="17"/>
        <v>6.3081470090534299E-3</v>
      </c>
      <c r="S63" s="2"/>
      <c r="T63" s="7">
        <v>12368.24523</v>
      </c>
      <c r="U63" s="2"/>
      <c r="V63" s="6">
        <f t="shared" si="18"/>
        <v>2.826879514192286E-3</v>
      </c>
      <c r="W63" s="2"/>
      <c r="X63" s="7">
        <f t="shared" si="19"/>
        <v>4373.4847699999991</v>
      </c>
      <c r="Y63" s="2"/>
      <c r="Z63" s="6">
        <f t="shared" si="20"/>
        <v>0.35360592296406135</v>
      </c>
    </row>
    <row r="64" spans="1:26" s="24" customFormat="1" hidden="1" outlineLevel="2" x14ac:dyDescent="0.25">
      <c r="A64" s="26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3"/>
        <v>0</v>
      </c>
      <c r="G64" s="2"/>
      <c r="H64" s="7">
        <v>0</v>
      </c>
      <c r="I64" s="2"/>
      <c r="J64" s="6">
        <f t="shared" si="14"/>
        <v>0</v>
      </c>
      <c r="K64" s="2"/>
      <c r="L64" s="7">
        <f t="shared" si="15"/>
        <v>0</v>
      </c>
      <c r="M64" s="2"/>
      <c r="N64" s="6">
        <f t="shared" si="16"/>
        <v>0</v>
      </c>
      <c r="O64" s="11"/>
      <c r="P64" s="7"/>
      <c r="Q64" s="2"/>
      <c r="R64" s="6">
        <f t="shared" si="17"/>
        <v>0</v>
      </c>
      <c r="S64" s="2"/>
      <c r="T64" s="7">
        <v>0</v>
      </c>
      <c r="U64" s="2"/>
      <c r="V64" s="6">
        <f t="shared" si="18"/>
        <v>0</v>
      </c>
      <c r="W64" s="2"/>
      <c r="X64" s="7">
        <f t="shared" si="19"/>
        <v>0</v>
      </c>
      <c r="Y64" s="2"/>
      <c r="Z64" s="6">
        <f t="shared" si="20"/>
        <v>0</v>
      </c>
    </row>
    <row r="65" spans="1:26" s="24" customFormat="1" hidden="1" outlineLevel="2" x14ac:dyDescent="0.25">
      <c r="A65" s="26"/>
      <c r="B65" s="11" t="str">
        <f>CONCATENATE("          ", "6117", " - ", "RETIREMENT STAFF HOURLY")</f>
        <v xml:space="preserve">          6117 - RETIREMENT STAFF HOURLY</v>
      </c>
      <c r="C65" s="11"/>
      <c r="D65" s="7">
        <v>368.6</v>
      </c>
      <c r="E65" s="2"/>
      <c r="F65" s="6">
        <f t="shared" si="13"/>
        <v>2.4581625535013814E-2</v>
      </c>
      <c r="G65" s="2"/>
      <c r="H65" s="7"/>
      <c r="I65" s="2"/>
      <c r="J65" s="6">
        <f t="shared" si="14"/>
        <v>0</v>
      </c>
      <c r="K65" s="2"/>
      <c r="L65" s="7">
        <f t="shared" si="15"/>
        <v>368.6</v>
      </c>
      <c r="M65" s="2"/>
      <c r="N65" s="6">
        <f t="shared" si="16"/>
        <v>0</v>
      </c>
      <c r="O65" s="11"/>
      <c r="P65" s="7">
        <v>2509.58</v>
      </c>
      <c r="Q65" s="2"/>
      <c r="R65" s="6">
        <f t="shared" si="17"/>
        <v>9.4558922948705462E-4</v>
      </c>
      <c r="S65" s="2"/>
      <c r="T65" s="7"/>
      <c r="U65" s="2"/>
      <c r="V65" s="6">
        <f t="shared" si="18"/>
        <v>0</v>
      </c>
      <c r="W65" s="2"/>
      <c r="X65" s="7">
        <f t="shared" si="19"/>
        <v>2509.58</v>
      </c>
      <c r="Y65" s="2"/>
      <c r="Z65" s="6">
        <f t="shared" si="20"/>
        <v>0</v>
      </c>
    </row>
    <row r="66" spans="1:26" s="24" customFormat="1" hidden="1" outlineLevel="2" x14ac:dyDescent="0.25">
      <c r="A66" s="26"/>
      <c r="B66" s="11" t="str">
        <f>CONCATENATE("          ", "6118", " - ", "VACATION")</f>
        <v xml:space="preserve">          6118 - VACATION</v>
      </c>
      <c r="C66" s="11"/>
      <c r="D66" s="7">
        <v>1345.02</v>
      </c>
      <c r="E66" s="2"/>
      <c r="F66" s="6">
        <f t="shared" si="13"/>
        <v>8.9698258212437001E-2</v>
      </c>
      <c r="G66" s="2"/>
      <c r="H66" s="7">
        <v>1346.2077200000001</v>
      </c>
      <c r="I66" s="2"/>
      <c r="J66" s="6">
        <f t="shared" si="14"/>
        <v>6.0922646513101329E-2</v>
      </c>
      <c r="K66" s="2"/>
      <c r="L66" s="7">
        <f t="shared" si="15"/>
        <v>-1.1877200000001267</v>
      </c>
      <c r="M66" s="2"/>
      <c r="N66" s="6">
        <f t="shared" si="16"/>
        <v>-8.8227097672573631E-4</v>
      </c>
      <c r="O66" s="11"/>
      <c r="P66" s="7">
        <v>12034.68</v>
      </c>
      <c r="Q66" s="2"/>
      <c r="R66" s="6">
        <f t="shared" si="17"/>
        <v>4.5345690467421913E-3</v>
      </c>
      <c r="S66" s="2"/>
      <c r="T66" s="7">
        <v>13125.52527</v>
      </c>
      <c r="U66" s="2"/>
      <c r="V66" s="6">
        <f t="shared" si="18"/>
        <v>2.9999630350777068E-3</v>
      </c>
      <c r="W66" s="2"/>
      <c r="X66" s="7">
        <f t="shared" si="19"/>
        <v>-1090.8452699999998</v>
      </c>
      <c r="Y66" s="2"/>
      <c r="Z66" s="6">
        <f t="shared" si="20"/>
        <v>-8.3108694513983422E-2</v>
      </c>
    </row>
    <row r="67" spans="1:26" s="24" customFormat="1" hidden="1" outlineLevel="2" x14ac:dyDescent="0.25">
      <c r="A67" s="26"/>
      <c r="B67" s="11" t="str">
        <f>CONCATENATE("          ", "6119", " - ", "SICK LEAVE")</f>
        <v xml:space="preserve">          6119 - SICK LEAVE</v>
      </c>
      <c r="C67" s="11"/>
      <c r="D67" s="7">
        <v>1147.56</v>
      </c>
      <c r="E67" s="2"/>
      <c r="F67" s="6">
        <f t="shared" si="13"/>
        <v>7.6529816057950215E-2</v>
      </c>
      <c r="G67" s="2"/>
      <c r="H67" s="7">
        <v>1121.24758576923</v>
      </c>
      <c r="I67" s="2"/>
      <c r="J67" s="6">
        <f t="shared" si="14"/>
        <v>5.0742072940635832E-2</v>
      </c>
      <c r="K67" s="2"/>
      <c r="L67" s="7">
        <f t="shared" si="15"/>
        <v>26.312414230769946</v>
      </c>
      <c r="M67" s="2"/>
      <c r="N67" s="6">
        <f t="shared" si="16"/>
        <v>2.346708663164555E-2</v>
      </c>
      <c r="O67" s="11"/>
      <c r="P67" s="7">
        <v>9887.02</v>
      </c>
      <c r="Q67" s="2"/>
      <c r="R67" s="6">
        <f t="shared" si="17"/>
        <v>3.7253483147471288E-3</v>
      </c>
      <c r="S67" s="2"/>
      <c r="T67" s="7">
        <v>13046.973067499999</v>
      </c>
      <c r="U67" s="2"/>
      <c r="V67" s="6">
        <f t="shared" si="18"/>
        <v>2.9820091856906229E-3</v>
      </c>
      <c r="W67" s="2"/>
      <c r="X67" s="7">
        <f t="shared" si="19"/>
        <v>-3159.9530674999987</v>
      </c>
      <c r="Y67" s="2"/>
      <c r="Z67" s="6">
        <f t="shared" si="20"/>
        <v>-0.2421981750979037</v>
      </c>
    </row>
    <row r="68" spans="1:26" s="24" customFormat="1" hidden="1" outlineLevel="2" x14ac:dyDescent="0.25">
      <c r="A68" s="26"/>
      <c r="B68" s="11" t="str">
        <f>CONCATENATE("          ", "6156", " - ", "EMPLOYEE MEALS")</f>
        <v xml:space="preserve">          6156 - EMPLOYEE MEALS</v>
      </c>
      <c r="C68" s="11"/>
      <c r="D68" s="7">
        <v>411.55</v>
      </c>
      <c r="E68" s="2"/>
      <c r="F68" s="6">
        <f t="shared" si="13"/>
        <v>2.7445925092064394E-2</v>
      </c>
      <c r="G68" s="2"/>
      <c r="H68" s="7">
        <v>750</v>
      </c>
      <c r="I68" s="2"/>
      <c r="J68" s="6">
        <f t="shared" si="14"/>
        <v>3.3941258994433635E-2</v>
      </c>
      <c r="K68" s="2"/>
      <c r="L68" s="7">
        <f t="shared" si="15"/>
        <v>-338.45</v>
      </c>
      <c r="M68" s="2"/>
      <c r="N68" s="6">
        <f t="shared" si="16"/>
        <v>-0.45126666666666665</v>
      </c>
      <c r="O68" s="11"/>
      <c r="P68" s="7">
        <v>3787.39</v>
      </c>
      <c r="Q68" s="2"/>
      <c r="R68" s="6">
        <f t="shared" si="17"/>
        <v>1.4270575920540393E-3</v>
      </c>
      <c r="S68" s="2"/>
      <c r="T68" s="7">
        <v>6750</v>
      </c>
      <c r="U68" s="2"/>
      <c r="V68" s="6">
        <f t="shared" si="18"/>
        <v>1.5427763895329821E-3</v>
      </c>
      <c r="W68" s="2"/>
      <c r="X68" s="7">
        <f t="shared" si="19"/>
        <v>-2962.61</v>
      </c>
      <c r="Y68" s="2"/>
      <c r="Z68" s="6">
        <f t="shared" si="20"/>
        <v>-0.43890518518518523</v>
      </c>
    </row>
    <row r="69" spans="1:26" s="25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25735.149999999998</v>
      </c>
      <c r="E69" s="1"/>
      <c r="F69" s="5">
        <f t="shared" ref="F69:F79" si="21">IF(D$12=0,0,D69/D$12)</f>
        <v>1.7162556168947658</v>
      </c>
      <c r="G69" s="1"/>
      <c r="H69" s="1">
        <f>SUM(OSRRefH22_1x_0)</f>
        <v>24345.564643692298</v>
      </c>
      <c r="I69" s="1"/>
      <c r="J69" s="5">
        <f t="shared" ref="J69:J79" si="22">IF(H$12=0,0,H69/H$12)</f>
        <v>1.1017588199163821</v>
      </c>
      <c r="K69" s="1"/>
      <c r="L69" s="1">
        <f t="shared" ref="L69:L79" si="23">+D69-H69</f>
        <v>1389.5853563076998</v>
      </c>
      <c r="M69" s="1"/>
      <c r="N69" s="5">
        <f t="shared" ref="N69:N79" si="24">IF(H69=0,0,L69/H69)</f>
        <v>5.7077557109267048E-2</v>
      </c>
      <c r="O69" s="13"/>
      <c r="P69" s="1">
        <f>SUM(OSRRefP22_1x_0)</f>
        <v>253133.52000000002</v>
      </c>
      <c r="Q69" s="1"/>
      <c r="R69" s="5">
        <f t="shared" ref="R69:R79" si="25">IF(P$12=0,0,P69/P$12)</f>
        <v>9.5378641100959505E-2</v>
      </c>
      <c r="S69" s="1"/>
      <c r="T69" s="1">
        <f>SUM(OSRRefT22_1x_0)</f>
        <v>307862.89215099998</v>
      </c>
      <c r="U69" s="1"/>
      <c r="V69" s="5">
        <f t="shared" ref="V69:V79" si="26">IF(T$12=0,0,T69/T$12)</f>
        <v>7.0364977959096534E-2</v>
      </c>
      <c r="W69" s="1"/>
      <c r="X69" s="1">
        <f t="shared" ref="X69:X79" si="27">+P69-T69</f>
        <v>-54729.37215099996</v>
      </c>
      <c r="Y69" s="1"/>
      <c r="Z69" s="5">
        <f t="shared" ref="Z69:Z79" si="28">IF(T69=0,0,X69/T69)</f>
        <v>-0.17777190283834665</v>
      </c>
    </row>
    <row r="70" spans="1:26" s="24" customFormat="1" hidden="1" outlineLevel="2" x14ac:dyDescent="0.25">
      <c r="A70" s="26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>
        <v>-311.32</v>
      </c>
      <c r="Q70" s="2"/>
      <c r="R70" s="6">
        <f t="shared" si="25"/>
        <v>-1.1730283112070939E-4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-311.32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7">
        <v>16589.439999999999</v>
      </c>
      <c r="E71" s="2"/>
      <c r="F71" s="6">
        <f t="shared" si="21"/>
        <v>1.1063358706336939</v>
      </c>
      <c r="G71" s="2"/>
      <c r="H71" s="7">
        <v>13107.2520636923</v>
      </c>
      <c r="I71" s="2"/>
      <c r="J71" s="6">
        <f t="shared" si="22"/>
        <v>0.59316884933214009</v>
      </c>
      <c r="K71" s="2"/>
      <c r="L71" s="7">
        <f t="shared" si="23"/>
        <v>3482.1879363076987</v>
      </c>
      <c r="M71" s="2"/>
      <c r="N71" s="6">
        <f t="shared" si="24"/>
        <v>0.26566880070564308</v>
      </c>
      <c r="O71" s="11"/>
      <c r="P71" s="7">
        <v>154715.68</v>
      </c>
      <c r="Q71" s="2"/>
      <c r="R71" s="6">
        <f t="shared" si="25"/>
        <v>5.8295603503680182E-2</v>
      </c>
      <c r="S71" s="2"/>
      <c r="T71" s="7">
        <v>127795.70762099999</v>
      </c>
      <c r="U71" s="2"/>
      <c r="V71" s="6">
        <f t="shared" si="26"/>
        <v>2.9208918577976146E-2</v>
      </c>
      <c r="W71" s="2"/>
      <c r="X71" s="7">
        <f t="shared" si="27"/>
        <v>26919.972378999999</v>
      </c>
      <c r="Y71" s="2"/>
      <c r="Z71" s="6">
        <f t="shared" si="28"/>
        <v>0.21064848640171685</v>
      </c>
    </row>
    <row r="72" spans="1:26" s="24" customFormat="1" hidden="1" outlineLevel="2" x14ac:dyDescent="0.25">
      <c r="A72" s="26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"6004", " - ", "STAFF HOURLY")</f>
        <v xml:space="preserve">          6004 - STAFF HOURLY</v>
      </c>
      <c r="C73" s="11"/>
      <c r="D73" s="7">
        <v>5806.54</v>
      </c>
      <c r="E73" s="2"/>
      <c r="F73" s="6">
        <f t="shared" si="21"/>
        <v>0.38723329336429491</v>
      </c>
      <c r="G73" s="2"/>
      <c r="H73" s="7">
        <v>5285.7500799999998</v>
      </c>
      <c r="I73" s="2"/>
      <c r="J73" s="6">
        <f t="shared" si="22"/>
        <v>0.23920668326017105</v>
      </c>
      <c r="K73" s="2"/>
      <c r="L73" s="7">
        <f t="shared" si="23"/>
        <v>520.78992000000017</v>
      </c>
      <c r="M73" s="2"/>
      <c r="N73" s="6">
        <f t="shared" si="24"/>
        <v>9.8527155487457357E-2</v>
      </c>
      <c r="O73" s="11"/>
      <c r="P73" s="7">
        <v>59739.26</v>
      </c>
      <c r="Q73" s="2"/>
      <c r="R73" s="6">
        <f t="shared" si="25"/>
        <v>2.250926483057995E-2</v>
      </c>
      <c r="S73" s="2"/>
      <c r="T73" s="7">
        <v>51536.063280000002</v>
      </c>
      <c r="U73" s="2"/>
      <c r="V73" s="6">
        <f t="shared" si="26"/>
        <v>1.1779055057460993E-2</v>
      </c>
      <c r="W73" s="2"/>
      <c r="X73" s="7">
        <f t="shared" si="27"/>
        <v>8203.1967199999999</v>
      </c>
      <c r="Y73" s="2"/>
      <c r="Z73" s="6">
        <f t="shared" si="28"/>
        <v>0.15917391042135492</v>
      </c>
    </row>
    <row r="74" spans="1:26" s="24" customFormat="1" hidden="1" outlineLevel="2" x14ac:dyDescent="0.25">
      <c r="A74" s="26"/>
      <c r="B74" s="11" t="str">
        <f>CONCATENATE("          ", "6005", " - ", "TEMPORARY WAGES-HOURLY")</f>
        <v xml:space="preserve">          6005 - TEMPORARY WAGES-HOURLY</v>
      </c>
      <c r="C74" s="11"/>
      <c r="D74" s="7">
        <v>478.89</v>
      </c>
      <c r="E74" s="2"/>
      <c r="F74" s="6">
        <f t="shared" si="21"/>
        <v>3.193677333820609E-2</v>
      </c>
      <c r="G74" s="2"/>
      <c r="H74" s="7">
        <v>2964</v>
      </c>
      <c r="I74" s="2"/>
      <c r="J74" s="6">
        <f t="shared" si="22"/>
        <v>0.13413585554600171</v>
      </c>
      <c r="K74" s="2"/>
      <c r="L74" s="7">
        <f t="shared" si="23"/>
        <v>-2485.11</v>
      </c>
      <c r="M74" s="2"/>
      <c r="N74" s="6">
        <f t="shared" si="24"/>
        <v>-0.83843117408906886</v>
      </c>
      <c r="O74" s="11"/>
      <c r="P74" s="7">
        <v>13316.89</v>
      </c>
      <c r="Q74" s="2"/>
      <c r="R74" s="6">
        <f t="shared" si="25"/>
        <v>5.0176952933414605E-3</v>
      </c>
      <c r="S74" s="2"/>
      <c r="T74" s="7">
        <v>31915.439999999999</v>
      </c>
      <c r="U74" s="2"/>
      <c r="V74" s="6">
        <f t="shared" si="26"/>
        <v>7.2945758953417063E-3</v>
      </c>
      <c r="W74" s="2"/>
      <c r="X74" s="7">
        <f t="shared" si="27"/>
        <v>-18598.55</v>
      </c>
      <c r="Y74" s="2"/>
      <c r="Z74" s="6">
        <f t="shared" si="28"/>
        <v>-0.58274459007928447</v>
      </c>
    </row>
    <row r="75" spans="1:26" s="24" customFormat="1" hidden="1" outlineLevel="2" x14ac:dyDescent="0.25">
      <c r="A75" s="26"/>
      <c r="B75" s="11" t="str">
        <f>CONCATENATE("          ", "6006", " - ", "TEMPORARY PART TIME")</f>
        <v xml:space="preserve">          6006 - TEMPORARY PART TIME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>
        <v>502.29</v>
      </c>
      <c r="Q75" s="2"/>
      <c r="R75" s="6">
        <f t="shared" si="25"/>
        <v>1.892587660401552E-4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502.29</v>
      </c>
      <c r="Y75" s="2"/>
      <c r="Z75" s="6">
        <f t="shared" si="28"/>
        <v>0</v>
      </c>
    </row>
    <row r="76" spans="1:26" s="24" customFormat="1" hidden="1" outlineLevel="2" x14ac:dyDescent="0.25">
      <c r="A76" s="26"/>
      <c r="B76" s="11" t="str">
        <f>CONCATENATE("          ", "6007", " - ", "STUDENT HOURLY")</f>
        <v xml:space="preserve">          6007 - STUDENT HOURLY</v>
      </c>
      <c r="C76" s="11"/>
      <c r="D76" s="7">
        <v>2860.28</v>
      </c>
      <c r="E76" s="2"/>
      <c r="F76" s="6">
        <f t="shared" si="21"/>
        <v>0.19074967955857111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2860.28</v>
      </c>
      <c r="M76" s="2"/>
      <c r="N76" s="6">
        <f t="shared" si="24"/>
        <v>0</v>
      </c>
      <c r="O76" s="11"/>
      <c r="P76" s="7">
        <v>24203.46</v>
      </c>
      <c r="Q76" s="2"/>
      <c r="R76" s="6">
        <f t="shared" si="25"/>
        <v>9.1196658772865376E-3</v>
      </c>
      <c r="S76" s="2"/>
      <c r="T76" s="7">
        <v>28540.862499999999</v>
      </c>
      <c r="U76" s="2"/>
      <c r="V76" s="6">
        <f t="shared" si="26"/>
        <v>6.5232842669492273E-3</v>
      </c>
      <c r="W76" s="2"/>
      <c r="X76" s="7">
        <f t="shared" si="27"/>
        <v>-4337.4025000000001</v>
      </c>
      <c r="Y76" s="2"/>
      <c r="Z76" s="6">
        <f t="shared" si="28"/>
        <v>-0.1519716686908113</v>
      </c>
    </row>
    <row r="77" spans="1:26" s="24" customFormat="1" hidden="1" outlineLevel="2" x14ac:dyDescent="0.25">
      <c r="A77" s="26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1"/>
        <v>0</v>
      </c>
      <c r="G77" s="2"/>
      <c r="H77" s="7">
        <v>2988.5625</v>
      </c>
      <c r="I77" s="2"/>
      <c r="J77" s="6">
        <f t="shared" si="22"/>
        <v>0.13524743177806942</v>
      </c>
      <c r="K77" s="2"/>
      <c r="L77" s="7">
        <f t="shared" si="23"/>
        <v>-2988.5625</v>
      </c>
      <c r="M77" s="2"/>
      <c r="N77" s="6">
        <f t="shared" si="24"/>
        <v>-1</v>
      </c>
      <c r="O77" s="11"/>
      <c r="P77" s="7">
        <v>967.26</v>
      </c>
      <c r="Q77" s="2"/>
      <c r="R77" s="6">
        <f t="shared" si="25"/>
        <v>3.6445566115192522E-4</v>
      </c>
      <c r="S77" s="2"/>
      <c r="T77" s="7">
        <v>68074.818750000006</v>
      </c>
      <c r="U77" s="2"/>
      <c r="V77" s="6">
        <f t="shared" si="26"/>
        <v>1.5559144161368469E-2</v>
      </c>
      <c r="W77" s="2"/>
      <c r="X77" s="7">
        <f t="shared" si="27"/>
        <v>-67107.558750000011</v>
      </c>
      <c r="Y77" s="2"/>
      <c r="Z77" s="6">
        <f t="shared" si="28"/>
        <v>-0.98579122180916579</v>
      </c>
    </row>
    <row r="78" spans="1:26" s="24" customFormat="1" hidden="1" outlineLevel="2" x14ac:dyDescent="0.25">
      <c r="A78" s="26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6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1"/>
        <v>0</v>
      </c>
      <c r="G79" s="2"/>
      <c r="H79" s="7">
        <v>0</v>
      </c>
      <c r="I79" s="2"/>
      <c r="J79" s="6">
        <f t="shared" si="22"/>
        <v>0</v>
      </c>
      <c r="K79" s="2"/>
      <c r="L79" s="7">
        <f t="shared" si="23"/>
        <v>0</v>
      </c>
      <c r="M79" s="2"/>
      <c r="N79" s="6">
        <f t="shared" si="24"/>
        <v>0</v>
      </c>
      <c r="O79" s="11"/>
      <c r="P79" s="7"/>
      <c r="Q79" s="2"/>
      <c r="R79" s="6">
        <f t="shared" si="25"/>
        <v>0</v>
      </c>
      <c r="S79" s="2"/>
      <c r="T79" s="7">
        <v>0</v>
      </c>
      <c r="U79" s="2"/>
      <c r="V79" s="6">
        <f t="shared" si="26"/>
        <v>0</v>
      </c>
      <c r="W79" s="2"/>
      <c r="X79" s="7">
        <f t="shared" si="27"/>
        <v>0</v>
      </c>
      <c r="Y79" s="2"/>
      <c r="Z79" s="6">
        <f t="shared" si="28"/>
        <v>0</v>
      </c>
    </row>
    <row r="80" spans="1:26" s="25" customFormat="1" outlineLevel="1" collapsed="1" x14ac:dyDescent="0.25">
      <c r="A80" s="27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30.83</v>
      </c>
      <c r="E80" s="1"/>
      <c r="F80" s="5">
        <f t="shared" ref="F80:F84" si="29">IF(D$12=0,0,D80/D$12)</f>
        <v>2.0560268997408459E-3</v>
      </c>
      <c r="G80" s="1"/>
      <c r="H80" s="1">
        <f>SUM(OSRRefH22_2x_0)</f>
        <v>100</v>
      </c>
      <c r="I80" s="1"/>
      <c r="J80" s="5">
        <f t="shared" ref="J80:J84" si="30">IF(H$12=0,0,H80/H$12)</f>
        <v>4.5255011992578181E-3</v>
      </c>
      <c r="K80" s="1"/>
      <c r="L80" s="1">
        <f t="shared" ref="L80:L84" si="31">+D80-H80</f>
        <v>-69.17</v>
      </c>
      <c r="M80" s="1"/>
      <c r="N80" s="5">
        <f t="shared" ref="N80:N84" si="32">IF(H80=0,0,L80/H80)</f>
        <v>-0.69169999999999998</v>
      </c>
      <c r="O80" s="13"/>
      <c r="P80" s="1">
        <f>SUM(OSRRefP22_2x_0)</f>
        <v>2030.38</v>
      </c>
      <c r="Q80" s="1"/>
      <c r="R80" s="5">
        <f t="shared" ref="R80:R84" si="33">IF(P$12=0,0,P80/P$12)</f>
        <v>7.6503058669814318E-4</v>
      </c>
      <c r="S80" s="1"/>
      <c r="T80" s="1">
        <f>SUM(OSRRefT22_2x_0)</f>
        <v>2300</v>
      </c>
      <c r="U80" s="1"/>
      <c r="V80" s="5">
        <f t="shared" ref="V80:V84" si="34">IF(T$12=0,0,T80/T$12)</f>
        <v>5.2568676976679396E-4</v>
      </c>
      <c r="W80" s="1"/>
      <c r="X80" s="1">
        <f t="shared" ref="X80:X84" si="35">+P80-T80</f>
        <v>-269.61999999999989</v>
      </c>
      <c r="Y80" s="1"/>
      <c r="Z80" s="5">
        <f t="shared" ref="Z80:Z84" si="36">IF(T80=0,0,X80/T80)</f>
        <v>-0.11722608695652169</v>
      </c>
    </row>
    <row r="81" spans="1:26" s="24" customFormat="1" hidden="1" outlineLevel="2" x14ac:dyDescent="0.25">
      <c r="A81" s="26"/>
      <c r="B81" s="11" t="str">
        <f>CONCATENATE("          ", "6362", " - ", "ADVERTISING EXPENSE")</f>
        <v xml:space="preserve">          6362 - ADVERTISING EXPENSE</v>
      </c>
      <c r="C81" s="11"/>
      <c r="D81" s="7">
        <v>30.83</v>
      </c>
      <c r="E81" s="2"/>
      <c r="F81" s="6">
        <f t="shared" si="29"/>
        <v>2.0560268997408459E-3</v>
      </c>
      <c r="G81" s="2"/>
      <c r="H81" s="7">
        <v>100</v>
      </c>
      <c r="I81" s="2"/>
      <c r="J81" s="6">
        <f t="shared" si="30"/>
        <v>4.5255011992578181E-3</v>
      </c>
      <c r="K81" s="2"/>
      <c r="L81" s="7">
        <f t="shared" si="31"/>
        <v>-69.17</v>
      </c>
      <c r="M81" s="2"/>
      <c r="N81" s="6">
        <f t="shared" si="32"/>
        <v>-0.69169999999999998</v>
      </c>
      <c r="O81" s="11"/>
      <c r="P81" s="7">
        <v>2030.38</v>
      </c>
      <c r="Q81" s="2"/>
      <c r="R81" s="6">
        <f t="shared" si="33"/>
        <v>7.6503058669814318E-4</v>
      </c>
      <c r="S81" s="2"/>
      <c r="T81" s="7">
        <v>2300</v>
      </c>
      <c r="U81" s="2"/>
      <c r="V81" s="6">
        <f t="shared" si="34"/>
        <v>5.2568676976679396E-4</v>
      </c>
      <c r="W81" s="2"/>
      <c r="X81" s="7">
        <f t="shared" si="35"/>
        <v>-269.61999999999989</v>
      </c>
      <c r="Y81" s="2"/>
      <c r="Z81" s="6">
        <f t="shared" si="36"/>
        <v>-0.11722608695652169</v>
      </c>
    </row>
    <row r="82" spans="1:26" s="25" customFormat="1" outlineLevel="1" collapsed="1" x14ac:dyDescent="0.25">
      <c r="A82" s="27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0</v>
      </c>
      <c r="E82" s="1"/>
      <c r="F82" s="5">
        <f t="shared" si="29"/>
        <v>0</v>
      </c>
      <c r="G82" s="1"/>
      <c r="H82" s="1">
        <f>SUM(OSRRefH22_3x_0)</f>
        <v>1700</v>
      </c>
      <c r="I82" s="1"/>
      <c r="J82" s="5">
        <f t="shared" si="30"/>
        <v>7.6933520387382909E-2</v>
      </c>
      <c r="K82" s="1"/>
      <c r="L82" s="1">
        <f t="shared" si="31"/>
        <v>-1700</v>
      </c>
      <c r="M82" s="1"/>
      <c r="N82" s="5">
        <f t="shared" si="32"/>
        <v>-1</v>
      </c>
      <c r="O82" s="13"/>
      <c r="P82" s="1">
        <f>SUM(OSRRefP22_3x_0)</f>
        <v>0</v>
      </c>
      <c r="Q82" s="1"/>
      <c r="R82" s="5">
        <f t="shared" si="33"/>
        <v>0</v>
      </c>
      <c r="S82" s="1"/>
      <c r="T82" s="1">
        <f>SUM(OSRRefT22_3x_0)</f>
        <v>16400</v>
      </c>
      <c r="U82" s="1"/>
      <c r="V82" s="5">
        <f t="shared" si="34"/>
        <v>3.7483752279023567E-3</v>
      </c>
      <c r="W82" s="1"/>
      <c r="X82" s="1">
        <f t="shared" si="35"/>
        <v>-16400</v>
      </c>
      <c r="Y82" s="1"/>
      <c r="Z82" s="5">
        <f t="shared" si="36"/>
        <v>-1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7">
        <v>0</v>
      </c>
      <c r="E83" s="2"/>
      <c r="F83" s="6">
        <f t="shared" si="29"/>
        <v>0</v>
      </c>
      <c r="G83" s="2"/>
      <c r="H83" s="7">
        <v>1700</v>
      </c>
      <c r="I83" s="2"/>
      <c r="J83" s="6">
        <f t="shared" si="30"/>
        <v>7.6933520387382909E-2</v>
      </c>
      <c r="K83" s="2"/>
      <c r="L83" s="7">
        <f t="shared" si="31"/>
        <v>-1700</v>
      </c>
      <c r="M83" s="2"/>
      <c r="N83" s="6">
        <f t="shared" si="32"/>
        <v>-1</v>
      </c>
      <c r="O83" s="11"/>
      <c r="P83" s="7">
        <v>0</v>
      </c>
      <c r="Q83" s="2"/>
      <c r="R83" s="6">
        <f t="shared" si="33"/>
        <v>0</v>
      </c>
      <c r="S83" s="2"/>
      <c r="T83" s="7">
        <v>16400</v>
      </c>
      <c r="U83" s="2"/>
      <c r="V83" s="6">
        <f t="shared" si="34"/>
        <v>3.7483752279023567E-3</v>
      </c>
      <c r="W83" s="2"/>
      <c r="X83" s="7">
        <f t="shared" si="35"/>
        <v>-16400</v>
      </c>
      <c r="Y83" s="2"/>
      <c r="Z83" s="6">
        <f t="shared" si="36"/>
        <v>-1</v>
      </c>
    </row>
    <row r="84" spans="1:26" s="24" customFormat="1" hidden="1" outlineLevel="2" x14ac:dyDescent="0.25">
      <c r="A84" s="26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0</v>
      </c>
      <c r="Q84" s="2"/>
      <c r="R84" s="6">
        <f t="shared" si="33"/>
        <v>0</v>
      </c>
      <c r="S84" s="2"/>
      <c r="T84" s="7"/>
      <c r="U84" s="2"/>
      <c r="V84" s="6">
        <f t="shared" si="34"/>
        <v>0</v>
      </c>
      <c r="W84" s="2"/>
      <c r="X84" s="7">
        <f t="shared" si="35"/>
        <v>0</v>
      </c>
      <c r="Y84" s="2"/>
      <c r="Z84" s="6">
        <f t="shared" si="36"/>
        <v>0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37">IF(D$12=0,0,D85/D$12)</f>
        <v>0</v>
      </c>
      <c r="G85" s="1"/>
      <c r="H85" s="1">
        <f>SUM(OSRRefH22_4x_0)</f>
        <v>75</v>
      </c>
      <c r="I85" s="1"/>
      <c r="J85" s="5">
        <f t="shared" ref="J85:J91" si="38">IF(H$12=0,0,H85/H$12)</f>
        <v>3.3941258994433635E-3</v>
      </c>
      <c r="K85" s="1"/>
      <c r="L85" s="1">
        <f t="shared" ref="L85:L91" si="39">+D85-H85</f>
        <v>-75</v>
      </c>
      <c r="M85" s="1"/>
      <c r="N85" s="5">
        <f t="shared" ref="N85:N91" si="40">IF(H85=0,0,L85/H85)</f>
        <v>-1</v>
      </c>
      <c r="O85" s="13"/>
      <c r="P85" s="1">
        <f>SUM(OSRRefP22_4x_0)</f>
        <v>107.7</v>
      </c>
      <c r="Q85" s="1"/>
      <c r="R85" s="5">
        <f t="shared" ref="R85:R91" si="41">IF(P$12=0,0,P85/P$12)</f>
        <v>4.0580479608442765E-5</v>
      </c>
      <c r="S85" s="1"/>
      <c r="T85" s="1">
        <f>SUM(OSRRefT22_4x_0)</f>
        <v>675</v>
      </c>
      <c r="U85" s="1"/>
      <c r="V85" s="5">
        <f t="shared" ref="V85:V91" si="42">IF(T$12=0,0,T85/T$12)</f>
        <v>1.542776389532982E-4</v>
      </c>
      <c r="W85" s="1"/>
      <c r="X85" s="1">
        <f t="shared" ref="X85:X91" si="43">+P85-T85</f>
        <v>-567.29999999999995</v>
      </c>
      <c r="Y85" s="1"/>
      <c r="Z85" s="5">
        <f t="shared" ref="Z85:Z91" si="44">IF(T85=0,0,X85/T85)</f>
        <v>-0.84044444444444433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37"/>
        <v>0</v>
      </c>
      <c r="G86" s="2"/>
      <c r="H86" s="7">
        <v>75</v>
      </c>
      <c r="I86" s="2"/>
      <c r="J86" s="6">
        <f t="shared" si="38"/>
        <v>3.3941258994433635E-3</v>
      </c>
      <c r="K86" s="2"/>
      <c r="L86" s="7">
        <f t="shared" si="39"/>
        <v>-75</v>
      </c>
      <c r="M86" s="2"/>
      <c r="N86" s="6">
        <f t="shared" si="40"/>
        <v>-1</v>
      </c>
      <c r="O86" s="11"/>
      <c r="P86" s="7">
        <v>107.7</v>
      </c>
      <c r="Q86" s="2"/>
      <c r="R86" s="6">
        <f t="shared" si="41"/>
        <v>4.0580479608442765E-5</v>
      </c>
      <c r="S86" s="2"/>
      <c r="T86" s="7">
        <v>675</v>
      </c>
      <c r="U86" s="2"/>
      <c r="V86" s="6">
        <f t="shared" si="42"/>
        <v>1.542776389532982E-4</v>
      </c>
      <c r="W86" s="2"/>
      <c r="X86" s="7">
        <f t="shared" si="43"/>
        <v>-567.29999999999995</v>
      </c>
      <c r="Y86" s="2"/>
      <c r="Z86" s="6">
        <f t="shared" si="44"/>
        <v>-0.84044444444444433</v>
      </c>
    </row>
    <row r="87" spans="1:26" s="25" customFormat="1" outlineLevel="1" collapsed="1" x14ac:dyDescent="0.25">
      <c r="A87" s="27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37"/>
        <v>6.0860530285549667E-3</v>
      </c>
      <c r="G87" s="1"/>
      <c r="H87" s="1">
        <f>SUM(OSRRefH22_5x_0)</f>
        <v>100</v>
      </c>
      <c r="I87" s="1"/>
      <c r="J87" s="5">
        <f t="shared" si="38"/>
        <v>4.5255011992578181E-3</v>
      </c>
      <c r="K87" s="1"/>
      <c r="L87" s="1">
        <f t="shared" si="39"/>
        <v>-8.7399999999999949</v>
      </c>
      <c r="M87" s="1"/>
      <c r="N87" s="5">
        <f t="shared" si="40"/>
        <v>-8.739999999999995E-2</v>
      </c>
      <c r="O87" s="13"/>
      <c r="P87" s="1">
        <f>SUM(OSRRefP22_5x_0)</f>
        <v>821.34</v>
      </c>
      <c r="Q87" s="1"/>
      <c r="R87" s="5">
        <f t="shared" si="41"/>
        <v>3.094741979721298E-4</v>
      </c>
      <c r="S87" s="1"/>
      <c r="T87" s="1">
        <f>SUM(OSRRefT22_5x_0)</f>
        <v>900</v>
      </c>
      <c r="U87" s="1"/>
      <c r="V87" s="5">
        <f t="shared" si="42"/>
        <v>2.0570351860439763E-4</v>
      </c>
      <c r="W87" s="1"/>
      <c r="X87" s="1">
        <f t="shared" si="43"/>
        <v>-78.659999999999968</v>
      </c>
      <c r="Y87" s="1"/>
      <c r="Z87" s="5">
        <f t="shared" si="44"/>
        <v>-8.7399999999999964E-2</v>
      </c>
    </row>
    <row r="88" spans="1:26" s="24" customFormat="1" hidden="1" outlineLevel="2" x14ac:dyDescent="0.25">
      <c r="A88" s="26"/>
      <c r="B88" s="11" t="str">
        <f>CONCATENATE("          ", "6351", " - ", "EQUIPMENT RENTAL")</f>
        <v xml:space="preserve">          6351 - EQUIPMENT RENTAL</v>
      </c>
      <c r="C88" s="11"/>
      <c r="D88" s="7">
        <v>91.26</v>
      </c>
      <c r="E88" s="2"/>
      <c r="F88" s="6">
        <f t="shared" si="37"/>
        <v>6.0860530285549667E-3</v>
      </c>
      <c r="G88" s="2"/>
      <c r="H88" s="7">
        <v>100</v>
      </c>
      <c r="I88" s="2"/>
      <c r="J88" s="6">
        <f t="shared" si="38"/>
        <v>4.5255011992578181E-3</v>
      </c>
      <c r="K88" s="2"/>
      <c r="L88" s="7">
        <f t="shared" si="39"/>
        <v>-8.7399999999999949</v>
      </c>
      <c r="M88" s="2"/>
      <c r="N88" s="6">
        <f t="shared" si="40"/>
        <v>-8.739999999999995E-2</v>
      </c>
      <c r="O88" s="11"/>
      <c r="P88" s="7">
        <v>821.34</v>
      </c>
      <c r="Q88" s="2"/>
      <c r="R88" s="6">
        <f t="shared" si="41"/>
        <v>3.094741979721298E-4</v>
      </c>
      <c r="S88" s="2"/>
      <c r="T88" s="7">
        <v>900</v>
      </c>
      <c r="U88" s="2"/>
      <c r="V88" s="6">
        <f t="shared" si="42"/>
        <v>2.0570351860439763E-4</v>
      </c>
      <c r="W88" s="2"/>
      <c r="X88" s="7">
        <f t="shared" si="43"/>
        <v>-78.659999999999968</v>
      </c>
      <c r="Y88" s="2"/>
      <c r="Z88" s="6">
        <f t="shared" si="44"/>
        <v>-8.7399999999999964E-2</v>
      </c>
    </row>
    <row r="89" spans="1:26" s="25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7217.53</v>
      </c>
      <c r="E89" s="1"/>
      <c r="F89" s="5">
        <f t="shared" si="37"/>
        <v>0.4813310356693658</v>
      </c>
      <c r="G89" s="1"/>
      <c r="H89" s="1">
        <f>SUM(OSRRefH22_6x_0)</f>
        <v>5000</v>
      </c>
      <c r="I89" s="1"/>
      <c r="J89" s="5">
        <f t="shared" si="38"/>
        <v>0.22627505996289088</v>
      </c>
      <c r="K89" s="1"/>
      <c r="L89" s="1">
        <f t="shared" si="39"/>
        <v>2217.5299999999997</v>
      </c>
      <c r="M89" s="1"/>
      <c r="N89" s="5">
        <f t="shared" si="40"/>
        <v>0.44350599999999996</v>
      </c>
      <c r="O89" s="13"/>
      <c r="P89" s="1">
        <f>SUM(OSRRefP22_6x_0)</f>
        <v>17681.86</v>
      </c>
      <c r="Q89" s="1"/>
      <c r="R89" s="5">
        <f t="shared" si="41"/>
        <v>6.6623803079790137E-3</v>
      </c>
      <c r="S89" s="1"/>
      <c r="T89" s="1">
        <f>SUM(OSRRefT22_6x_0)</f>
        <v>20700</v>
      </c>
      <c r="U89" s="1"/>
      <c r="V89" s="5">
        <f t="shared" si="42"/>
        <v>4.7311809279011454E-3</v>
      </c>
      <c r="W89" s="1"/>
      <c r="X89" s="1">
        <f t="shared" si="43"/>
        <v>-3018.1399999999994</v>
      </c>
      <c r="Y89" s="1"/>
      <c r="Z89" s="5">
        <f t="shared" si="44"/>
        <v>-0.14580386473429949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7">
        <v>7217.53</v>
      </c>
      <c r="E90" s="2"/>
      <c r="F90" s="6">
        <f t="shared" si="37"/>
        <v>0.4813310356693658</v>
      </c>
      <c r="G90" s="2"/>
      <c r="H90" s="7">
        <v>5000</v>
      </c>
      <c r="I90" s="2"/>
      <c r="J90" s="6">
        <f t="shared" si="38"/>
        <v>0.22627505996289088</v>
      </c>
      <c r="K90" s="2"/>
      <c r="L90" s="7">
        <f t="shared" si="39"/>
        <v>2217.5299999999997</v>
      </c>
      <c r="M90" s="2"/>
      <c r="N90" s="6">
        <f t="shared" si="40"/>
        <v>0.44350599999999996</v>
      </c>
      <c r="O90" s="11"/>
      <c r="P90" s="7">
        <v>17681.36</v>
      </c>
      <c r="Q90" s="2"/>
      <c r="R90" s="6">
        <f t="shared" si="41"/>
        <v>6.6621919120662537E-3</v>
      </c>
      <c r="S90" s="2"/>
      <c r="T90" s="7">
        <v>20700</v>
      </c>
      <c r="U90" s="2"/>
      <c r="V90" s="6">
        <f t="shared" si="42"/>
        <v>4.7311809279011454E-3</v>
      </c>
      <c r="W90" s="2"/>
      <c r="X90" s="7">
        <f t="shared" si="43"/>
        <v>-3018.6399999999994</v>
      </c>
      <c r="Y90" s="2"/>
      <c r="Z90" s="6">
        <f t="shared" si="44"/>
        <v>-0.14582801932367148</v>
      </c>
    </row>
    <row r="91" spans="1:26" s="24" customFormat="1" hidden="1" outlineLevel="2" x14ac:dyDescent="0.25">
      <c r="A91" s="26"/>
      <c r="B91" s="11" t="str">
        <f>CONCATENATE("          ", "6307", " - ", "POSTAGE")</f>
        <v xml:space="preserve">          6307 - POSTAGE</v>
      </c>
      <c r="C91" s="11"/>
      <c r="D91" s="7"/>
      <c r="E91" s="2"/>
      <c r="F91" s="6">
        <f t="shared" si="37"/>
        <v>0</v>
      </c>
      <c r="G91" s="2"/>
      <c r="H91" s="7"/>
      <c r="I91" s="2"/>
      <c r="J91" s="6">
        <f t="shared" si="38"/>
        <v>0</v>
      </c>
      <c r="K91" s="2"/>
      <c r="L91" s="7">
        <f t="shared" si="39"/>
        <v>0</v>
      </c>
      <c r="M91" s="2"/>
      <c r="N91" s="6">
        <f t="shared" si="40"/>
        <v>0</v>
      </c>
      <c r="O91" s="11"/>
      <c r="P91" s="7">
        <v>0.5</v>
      </c>
      <c r="Q91" s="2"/>
      <c r="R91" s="6">
        <f t="shared" si="41"/>
        <v>1.883959127597157E-7</v>
      </c>
      <c r="S91" s="2"/>
      <c r="T91" s="7"/>
      <c r="U91" s="2"/>
      <c r="V91" s="6">
        <f t="shared" si="42"/>
        <v>0</v>
      </c>
      <c r="W91" s="2"/>
      <c r="X91" s="7">
        <f t="shared" si="43"/>
        <v>0.5</v>
      </c>
      <c r="Y91" s="2"/>
      <c r="Z91" s="6">
        <f t="shared" si="44"/>
        <v>0</v>
      </c>
    </row>
    <row r="92" spans="1:26" s="25" customFormat="1" outlineLevel="1" collapsed="1" x14ac:dyDescent="0.25">
      <c r="A92" s="27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0</v>
      </c>
      <c r="E92" s="1"/>
      <c r="F92" s="5">
        <f t="shared" ref="F92:F94" si="45">IF(D$12=0,0,D92/D$12)</f>
        <v>0</v>
      </c>
      <c r="G92" s="1"/>
      <c r="H92" s="1">
        <f>SUM(OSRRefH22_7x_0)</f>
        <v>0</v>
      </c>
      <c r="I92" s="1"/>
      <c r="J92" s="5">
        <f t="shared" ref="J92:J94" si="46">IF(H$12=0,0,H92/H$12)</f>
        <v>0</v>
      </c>
      <c r="K92" s="1"/>
      <c r="L92" s="1">
        <f t="shared" ref="L92:L94" si="47">+D92-H92</f>
        <v>0</v>
      </c>
      <c r="M92" s="1"/>
      <c r="N92" s="5">
        <f t="shared" ref="N92:N94" si="48">IF(H92=0,0,L92/H92)</f>
        <v>0</v>
      </c>
      <c r="O92" s="13"/>
      <c r="P92" s="1">
        <f>SUM(OSRRefP22_7x_0)</f>
        <v>-1042.03</v>
      </c>
      <c r="Q92" s="1"/>
      <c r="R92" s="5">
        <f t="shared" ref="R92:R94" si="49">IF(P$12=0,0,P92/P$12)</f>
        <v>-3.9262838594601311E-4</v>
      </c>
      <c r="S92" s="1"/>
      <c r="T92" s="1">
        <f>SUM(OSRRefT22_7x_0)</f>
        <v>1500</v>
      </c>
      <c r="U92" s="1"/>
      <c r="V92" s="5">
        <f t="shared" ref="V92:V94" si="50">IF(T$12=0,0,T92/T$12)</f>
        <v>3.4283919767399604E-4</v>
      </c>
      <c r="W92" s="1"/>
      <c r="X92" s="1">
        <f t="shared" ref="X92:X94" si="51">+P92-T92</f>
        <v>-2542.0299999999997</v>
      </c>
      <c r="Y92" s="1"/>
      <c r="Z92" s="5">
        <f t="shared" ref="Z92:Z94" si="52">IF(T92=0,0,X92/T92)</f>
        <v>-1.6946866666666665</v>
      </c>
    </row>
    <row r="93" spans="1:26" s="24" customFormat="1" hidden="1" outlineLevel="2" x14ac:dyDescent="0.25">
      <c r="A93" s="26"/>
      <c r="B93" s="11" t="str">
        <f>CONCATENATE("          ", "6269", " - ", "ENTERTAINMENT")</f>
        <v xml:space="preserve">          6269 - ENTERTAINMENT</v>
      </c>
      <c r="C93" s="11"/>
      <c r="D93" s="7"/>
      <c r="E93" s="2"/>
      <c r="F93" s="6">
        <f t="shared" si="45"/>
        <v>0</v>
      </c>
      <c r="G93" s="2"/>
      <c r="H93" s="7">
        <v>0</v>
      </c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/>
      <c r="Q93" s="2"/>
      <c r="R93" s="6">
        <f t="shared" si="49"/>
        <v>0</v>
      </c>
      <c r="S93" s="2"/>
      <c r="T93" s="7">
        <v>1500</v>
      </c>
      <c r="U93" s="2"/>
      <c r="V93" s="6">
        <f t="shared" si="50"/>
        <v>3.4283919767399604E-4</v>
      </c>
      <c r="W93" s="2"/>
      <c r="X93" s="7">
        <f t="shared" si="51"/>
        <v>-1500</v>
      </c>
      <c r="Y93" s="2"/>
      <c r="Z93" s="6">
        <f t="shared" si="52"/>
        <v>-1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7">
        <v>0</v>
      </c>
      <c r="E94" s="2"/>
      <c r="F94" s="6">
        <f t="shared" si="45"/>
        <v>0</v>
      </c>
      <c r="G94" s="2"/>
      <c r="H94" s="7"/>
      <c r="I94" s="2"/>
      <c r="J94" s="6">
        <f t="shared" si="46"/>
        <v>0</v>
      </c>
      <c r="K94" s="2"/>
      <c r="L94" s="7">
        <f t="shared" si="47"/>
        <v>0</v>
      </c>
      <c r="M94" s="2"/>
      <c r="N94" s="6">
        <f t="shared" si="48"/>
        <v>0</v>
      </c>
      <c r="O94" s="11"/>
      <c r="P94" s="7">
        <v>-1042.03</v>
      </c>
      <c r="Q94" s="2"/>
      <c r="R94" s="6">
        <f t="shared" si="49"/>
        <v>-3.9262838594601311E-4</v>
      </c>
      <c r="S94" s="2"/>
      <c r="T94" s="7"/>
      <c r="U94" s="2"/>
      <c r="V94" s="6">
        <f t="shared" si="50"/>
        <v>0</v>
      </c>
      <c r="W94" s="2"/>
      <c r="X94" s="7">
        <f t="shared" si="51"/>
        <v>-1042.03</v>
      </c>
      <c r="Y94" s="2"/>
      <c r="Z94" s="6">
        <f t="shared" si="52"/>
        <v>0</v>
      </c>
    </row>
    <row r="95" spans="1:26" s="25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ref="F95:F99" si="53">IF(D$12=0,0,D95/D$12)</f>
        <v>6.6689163144367375E-2</v>
      </c>
      <c r="G95" s="1"/>
      <c r="H95" s="1">
        <f>SUM(OSRRefH22_8x_0)</f>
        <v>1000</v>
      </c>
      <c r="I95" s="1"/>
      <c r="J95" s="5">
        <f t="shared" ref="J95:J99" si="54">IF(H$12=0,0,H95/H$12)</f>
        <v>4.5255011992578177E-2</v>
      </c>
      <c r="K95" s="1"/>
      <c r="L95" s="1">
        <f t="shared" ref="L95:L99" si="55">+D95-H95</f>
        <v>0</v>
      </c>
      <c r="M95" s="1"/>
      <c r="N95" s="5">
        <f t="shared" ref="N95:N99" si="56">IF(H95=0,0,L95/H95)</f>
        <v>0</v>
      </c>
      <c r="O95" s="13"/>
      <c r="P95" s="1">
        <f>SUM(OSRRefP22_8x_0)</f>
        <v>14000</v>
      </c>
      <c r="Q95" s="1"/>
      <c r="R95" s="5">
        <f t="shared" ref="R95:R99" si="57">IF(P$12=0,0,P95/P$12)</f>
        <v>5.2750855572720398E-3</v>
      </c>
      <c r="S95" s="1"/>
      <c r="T95" s="1">
        <f>SUM(OSRRefT22_8x_0)</f>
        <v>14000</v>
      </c>
      <c r="U95" s="1"/>
      <c r="V95" s="5">
        <f t="shared" ref="V95:V99" si="58">IF(T$12=0,0,T95/T$12)</f>
        <v>3.1998325116239629E-3</v>
      </c>
      <c r="W95" s="1"/>
      <c r="X95" s="1">
        <f t="shared" ref="X95:X99" si="59">+P95-T95</f>
        <v>0</v>
      </c>
      <c r="Y95" s="1"/>
      <c r="Z95" s="5">
        <f t="shared" ref="Z95:Z99" si="60">IF(T95=0,0,X95/T95)</f>
        <v>0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7">
        <v>1000</v>
      </c>
      <c r="E96" s="2"/>
      <c r="F96" s="6">
        <f t="shared" si="53"/>
        <v>6.6689163144367375E-2</v>
      </c>
      <c r="G96" s="2"/>
      <c r="H96" s="7">
        <v>1000</v>
      </c>
      <c r="I96" s="2"/>
      <c r="J96" s="6">
        <f t="shared" si="54"/>
        <v>4.5255011992578177E-2</v>
      </c>
      <c r="K96" s="2"/>
      <c r="L96" s="7">
        <f t="shared" si="55"/>
        <v>0</v>
      </c>
      <c r="M96" s="2"/>
      <c r="N96" s="6">
        <f t="shared" si="56"/>
        <v>0</v>
      </c>
      <c r="O96" s="11"/>
      <c r="P96" s="7">
        <v>14000</v>
      </c>
      <c r="Q96" s="2"/>
      <c r="R96" s="6">
        <f t="shared" si="57"/>
        <v>5.2750855572720398E-3</v>
      </c>
      <c r="S96" s="2"/>
      <c r="T96" s="7">
        <v>14000</v>
      </c>
      <c r="U96" s="2"/>
      <c r="V96" s="6">
        <f t="shared" si="58"/>
        <v>3.1998325116239629E-3</v>
      </c>
      <c r="W96" s="2"/>
      <c r="X96" s="7">
        <f t="shared" si="59"/>
        <v>0</v>
      </c>
      <c r="Y96" s="2"/>
      <c r="Z96" s="6">
        <f t="shared" si="60"/>
        <v>0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24.47</v>
      </c>
      <c r="E97" s="1"/>
      <c r="F97" s="5">
        <f t="shared" si="53"/>
        <v>1.6318838221426695E-3</v>
      </c>
      <c r="G97" s="1"/>
      <c r="H97" s="1">
        <f>SUM(OSRRefH22_9x_0)</f>
        <v>140</v>
      </c>
      <c r="I97" s="1"/>
      <c r="J97" s="5">
        <f t="shared" si="54"/>
        <v>6.3357016789609448E-3</v>
      </c>
      <c r="K97" s="1"/>
      <c r="L97" s="1">
        <f t="shared" si="55"/>
        <v>-115.53</v>
      </c>
      <c r="M97" s="1"/>
      <c r="N97" s="5">
        <f t="shared" si="56"/>
        <v>-0.82521428571428568</v>
      </c>
      <c r="O97" s="13"/>
      <c r="P97" s="1">
        <f>SUM(OSRRefP22_9x_0)</f>
        <v>207.32</v>
      </c>
      <c r="Q97" s="1"/>
      <c r="R97" s="5">
        <f t="shared" si="57"/>
        <v>7.8116481266688511E-5</v>
      </c>
      <c r="S97" s="1"/>
      <c r="T97" s="1">
        <f>SUM(OSRRefT22_9x_0)</f>
        <v>1260</v>
      </c>
      <c r="U97" s="1"/>
      <c r="V97" s="5">
        <f t="shared" si="58"/>
        <v>2.8798492604615667E-4</v>
      </c>
      <c r="W97" s="1"/>
      <c r="X97" s="1">
        <f t="shared" si="59"/>
        <v>-1052.68</v>
      </c>
      <c r="Y97" s="1"/>
      <c r="Z97" s="5">
        <f t="shared" si="60"/>
        <v>-0.83546031746031746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7">
        <v>24.47</v>
      </c>
      <c r="E98" s="2"/>
      <c r="F98" s="6">
        <f t="shared" si="53"/>
        <v>1.6318838221426695E-3</v>
      </c>
      <c r="G98" s="2"/>
      <c r="H98" s="7">
        <v>40</v>
      </c>
      <c r="I98" s="2"/>
      <c r="J98" s="6">
        <f t="shared" si="54"/>
        <v>1.8102004797031271E-3</v>
      </c>
      <c r="K98" s="2"/>
      <c r="L98" s="7">
        <f t="shared" si="55"/>
        <v>-15.530000000000001</v>
      </c>
      <c r="M98" s="2"/>
      <c r="N98" s="6">
        <f t="shared" si="56"/>
        <v>-0.38825000000000004</v>
      </c>
      <c r="O98" s="11"/>
      <c r="P98" s="7">
        <v>182.21</v>
      </c>
      <c r="Q98" s="2"/>
      <c r="R98" s="6">
        <f t="shared" si="57"/>
        <v>6.8655238527895595E-5</v>
      </c>
      <c r="S98" s="2"/>
      <c r="T98" s="7">
        <v>360</v>
      </c>
      <c r="U98" s="2"/>
      <c r="V98" s="6">
        <f t="shared" si="58"/>
        <v>8.228140744175905E-5</v>
      </c>
      <c r="W98" s="2"/>
      <c r="X98" s="7">
        <f t="shared" si="59"/>
        <v>-177.79</v>
      </c>
      <c r="Y98" s="2"/>
      <c r="Z98" s="6">
        <f t="shared" si="60"/>
        <v>-0.49386111111111108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53"/>
        <v>0</v>
      </c>
      <c r="G99" s="2"/>
      <c r="H99" s="7">
        <v>100</v>
      </c>
      <c r="I99" s="2"/>
      <c r="J99" s="6">
        <f t="shared" si="54"/>
        <v>4.5255011992578181E-3</v>
      </c>
      <c r="K99" s="2"/>
      <c r="L99" s="7">
        <f t="shared" si="55"/>
        <v>-100</v>
      </c>
      <c r="M99" s="2"/>
      <c r="N99" s="6">
        <f t="shared" si="56"/>
        <v>-1</v>
      </c>
      <c r="O99" s="11"/>
      <c r="P99" s="7">
        <v>25.11</v>
      </c>
      <c r="Q99" s="2"/>
      <c r="R99" s="6">
        <f t="shared" si="57"/>
        <v>9.4612427387929228E-6</v>
      </c>
      <c r="S99" s="2"/>
      <c r="T99" s="7">
        <v>900</v>
      </c>
      <c r="U99" s="2"/>
      <c r="V99" s="6">
        <f t="shared" si="58"/>
        <v>2.0570351860439763E-4</v>
      </c>
      <c r="W99" s="2"/>
      <c r="X99" s="7">
        <f t="shared" si="59"/>
        <v>-874.89</v>
      </c>
      <c r="Y99" s="2"/>
      <c r="Z99" s="6">
        <f t="shared" si="60"/>
        <v>-0.97209999999999996</v>
      </c>
    </row>
    <row r="100" spans="1:26" s="25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232.79</v>
      </c>
      <c r="E100" s="1"/>
      <c r="F100" s="5">
        <f t="shared" ref="F100:F102" si="61">IF(D$12=0,0,D100/D$12)</f>
        <v>1.552457028837728E-2</v>
      </c>
      <c r="G100" s="1"/>
      <c r="H100" s="1">
        <f>SUM(OSRRefH22_10x_0)</f>
        <v>300</v>
      </c>
      <c r="I100" s="1"/>
      <c r="J100" s="5">
        <f t="shared" ref="J100:J102" si="62">IF(H$12=0,0,H100/H$12)</f>
        <v>1.3576503597773454E-2</v>
      </c>
      <c r="K100" s="1"/>
      <c r="L100" s="1">
        <f t="shared" ref="L100:L102" si="63">+D100-H100</f>
        <v>-67.210000000000008</v>
      </c>
      <c r="M100" s="1"/>
      <c r="N100" s="5">
        <f t="shared" ref="N100:N102" si="64">IF(H100=0,0,L100/H100)</f>
        <v>-0.22403333333333336</v>
      </c>
      <c r="O100" s="13"/>
      <c r="P100" s="1">
        <f>SUM(OSRRefP22_10x_0)</f>
        <v>4326.63</v>
      </c>
      <c r="Q100" s="1"/>
      <c r="R100" s="5">
        <f t="shared" ref="R100:R102" si="65">IF(P$12=0,0,P100/P$12)</f>
        <v>1.6302388160471376E-3</v>
      </c>
      <c r="S100" s="1"/>
      <c r="T100" s="1">
        <f>SUM(OSRRefT22_10x_0)</f>
        <v>2700</v>
      </c>
      <c r="U100" s="1"/>
      <c r="V100" s="5">
        <f t="shared" ref="V100:V102" si="66">IF(T$12=0,0,T100/T$12)</f>
        <v>6.1711055581319281E-4</v>
      </c>
      <c r="W100" s="1"/>
      <c r="X100" s="1">
        <f t="shared" ref="X100:X102" si="67">+P100-T100</f>
        <v>1626.63</v>
      </c>
      <c r="Y100" s="1"/>
      <c r="Z100" s="5">
        <f t="shared" ref="Z100:Z102" si="68">IF(T100=0,0,X100/T100)</f>
        <v>0.60245555555555563</v>
      </c>
    </row>
    <row r="101" spans="1:26" s="24" customFormat="1" hidden="1" outlineLevel="2" x14ac:dyDescent="0.25">
      <c r="A101" s="26"/>
      <c r="B101" s="11" t="str">
        <f>CONCATENATE("          ", "6258", " - ", "MEMBERSHIP DUES")</f>
        <v xml:space="preserve">          6258 - MEMBERSHIP DUES</v>
      </c>
      <c r="C101" s="11"/>
      <c r="D101" s="7">
        <v>232.79</v>
      </c>
      <c r="E101" s="2"/>
      <c r="F101" s="6">
        <f t="shared" si="61"/>
        <v>1.552457028837728E-2</v>
      </c>
      <c r="G101" s="2"/>
      <c r="H101" s="7">
        <v>300</v>
      </c>
      <c r="I101" s="2"/>
      <c r="J101" s="6">
        <f t="shared" si="62"/>
        <v>1.3576503597773454E-2</v>
      </c>
      <c r="K101" s="2"/>
      <c r="L101" s="7">
        <f t="shared" si="63"/>
        <v>-67.210000000000008</v>
      </c>
      <c r="M101" s="2"/>
      <c r="N101" s="6">
        <f t="shared" si="64"/>
        <v>-0.22403333333333336</v>
      </c>
      <c r="O101" s="11"/>
      <c r="P101" s="7">
        <v>2474.5500000000002</v>
      </c>
      <c r="Q101" s="2"/>
      <c r="R101" s="6">
        <f t="shared" si="65"/>
        <v>9.3239021183910903E-4</v>
      </c>
      <c r="S101" s="2"/>
      <c r="T101" s="7">
        <v>2700</v>
      </c>
      <c r="U101" s="2"/>
      <c r="V101" s="6">
        <f t="shared" si="66"/>
        <v>6.1711055581319281E-4</v>
      </c>
      <c r="W101" s="2"/>
      <c r="X101" s="7">
        <f t="shared" si="67"/>
        <v>-225.44999999999982</v>
      </c>
      <c r="Y101" s="2"/>
      <c r="Z101" s="6">
        <f t="shared" si="68"/>
        <v>-8.3499999999999935E-2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61"/>
        <v>0</v>
      </c>
      <c r="G102" s="2"/>
      <c r="H102" s="7"/>
      <c r="I102" s="2"/>
      <c r="J102" s="6">
        <f t="shared" si="62"/>
        <v>0</v>
      </c>
      <c r="K102" s="2"/>
      <c r="L102" s="7">
        <f t="shared" si="63"/>
        <v>0</v>
      </c>
      <c r="M102" s="2"/>
      <c r="N102" s="6">
        <f t="shared" si="64"/>
        <v>0</v>
      </c>
      <c r="O102" s="11"/>
      <c r="P102" s="7">
        <v>1852.08</v>
      </c>
      <c r="Q102" s="2"/>
      <c r="R102" s="6">
        <f t="shared" si="65"/>
        <v>6.9784860420802849E-4</v>
      </c>
      <c r="S102" s="2"/>
      <c r="T102" s="7"/>
      <c r="U102" s="2"/>
      <c r="V102" s="6">
        <f t="shared" si="66"/>
        <v>0</v>
      </c>
      <c r="W102" s="2"/>
      <c r="X102" s="7">
        <f t="shared" si="67"/>
        <v>1852.08</v>
      </c>
      <c r="Y102" s="2"/>
      <c r="Z102" s="6">
        <f t="shared" si="68"/>
        <v>0</v>
      </c>
    </row>
    <row r="103" spans="1:26" s="25" customFormat="1" outlineLevel="1" collapsed="1" x14ac:dyDescent="0.25">
      <c r="A103" s="27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175.16</v>
      </c>
      <c r="E103" s="1"/>
      <c r="F103" s="5">
        <f t="shared" ref="F103:F106" si="69">IF(D$12=0,0,D103/D$12)</f>
        <v>1.1681273816367389E-2</v>
      </c>
      <c r="G103" s="1"/>
      <c r="H103" s="1">
        <f>SUM(OSRRefH22_11x_0)</f>
        <v>1100</v>
      </c>
      <c r="I103" s="1"/>
      <c r="J103" s="5">
        <f t="shared" ref="J103:J106" si="70">IF(H$12=0,0,H103/H$12)</f>
        <v>4.9780513191835997E-2</v>
      </c>
      <c r="K103" s="1"/>
      <c r="L103" s="1">
        <f t="shared" ref="L103:L106" si="71">+D103-H103</f>
        <v>-924.84</v>
      </c>
      <c r="M103" s="1"/>
      <c r="N103" s="5">
        <f t="shared" ref="N103:N106" si="72">IF(H103=0,0,L103/H103)</f>
        <v>-0.84076363636363638</v>
      </c>
      <c r="O103" s="13"/>
      <c r="P103" s="1">
        <f>SUM(OSRRefP22_11x_0)</f>
        <v>5010.66</v>
      </c>
      <c r="Q103" s="1"/>
      <c r="R103" s="5">
        <f t="shared" ref="R103:R106" si="73">IF(P$12=0,0,P103/P$12)</f>
        <v>1.8879757284571942E-3</v>
      </c>
      <c r="S103" s="1"/>
      <c r="T103" s="1">
        <f>SUM(OSRRefT22_11x_0)</f>
        <v>11300</v>
      </c>
      <c r="U103" s="1"/>
      <c r="V103" s="5">
        <f t="shared" ref="V103:V106" si="74">IF(T$12=0,0,T103/T$12)</f>
        <v>2.58272195581077E-3</v>
      </c>
      <c r="W103" s="1"/>
      <c r="X103" s="1">
        <f t="shared" ref="X103:X106" si="75">+P103-T103</f>
        <v>-6289.34</v>
      </c>
      <c r="Y103" s="1"/>
      <c r="Z103" s="5">
        <f t="shared" ref="Z103:Z106" si="76">IF(T103=0,0,X103/T103)</f>
        <v>-0.55657876106194693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7">
        <v>160.69999999999999</v>
      </c>
      <c r="E104" s="2"/>
      <c r="F104" s="6">
        <f t="shared" si="69"/>
        <v>1.0716948517299835E-2</v>
      </c>
      <c r="G104" s="2"/>
      <c r="H104" s="7">
        <v>300</v>
      </c>
      <c r="I104" s="2"/>
      <c r="J104" s="6">
        <f t="shared" si="70"/>
        <v>1.3576503597773454E-2</v>
      </c>
      <c r="K104" s="2"/>
      <c r="L104" s="7">
        <f t="shared" si="71"/>
        <v>-139.30000000000001</v>
      </c>
      <c r="M104" s="2"/>
      <c r="N104" s="6">
        <f t="shared" si="72"/>
        <v>-0.46433333333333338</v>
      </c>
      <c r="O104" s="11"/>
      <c r="P104" s="7">
        <v>1415.3</v>
      </c>
      <c r="Q104" s="2"/>
      <c r="R104" s="6">
        <f t="shared" si="73"/>
        <v>5.3327347065765121E-4</v>
      </c>
      <c r="S104" s="2"/>
      <c r="T104" s="7">
        <v>3900</v>
      </c>
      <c r="U104" s="2"/>
      <c r="V104" s="6">
        <f t="shared" si="74"/>
        <v>8.9138191395238969E-4</v>
      </c>
      <c r="W104" s="2"/>
      <c r="X104" s="7">
        <f t="shared" si="75"/>
        <v>-2484.6999999999998</v>
      </c>
      <c r="Y104" s="2"/>
      <c r="Z104" s="6">
        <f t="shared" si="76"/>
        <v>-0.63710256410256405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9"/>
        <v>0</v>
      </c>
      <c r="G105" s="2"/>
      <c r="H105" s="7">
        <v>100</v>
      </c>
      <c r="I105" s="2"/>
      <c r="J105" s="6">
        <f t="shared" si="70"/>
        <v>4.5255011992578181E-3</v>
      </c>
      <c r="K105" s="2"/>
      <c r="L105" s="7">
        <f t="shared" si="71"/>
        <v>-100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1900</v>
      </c>
      <c r="U105" s="2"/>
      <c r="V105" s="6">
        <f t="shared" si="74"/>
        <v>4.34262983720395E-4</v>
      </c>
      <c r="W105" s="2"/>
      <c r="X105" s="7">
        <f t="shared" si="75"/>
        <v>-1900</v>
      </c>
      <c r="Y105" s="2"/>
      <c r="Z105" s="6">
        <f t="shared" si="76"/>
        <v>-1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7">
        <v>14.46</v>
      </c>
      <c r="E106" s="2"/>
      <c r="F106" s="6">
        <f t="shared" si="69"/>
        <v>9.6432529906755222E-4</v>
      </c>
      <c r="G106" s="2"/>
      <c r="H106" s="7">
        <v>700</v>
      </c>
      <c r="I106" s="2"/>
      <c r="J106" s="6">
        <f t="shared" si="70"/>
        <v>3.1678508394804725E-2</v>
      </c>
      <c r="K106" s="2"/>
      <c r="L106" s="7">
        <f t="shared" si="71"/>
        <v>-685.54</v>
      </c>
      <c r="M106" s="2"/>
      <c r="N106" s="6">
        <f t="shared" si="72"/>
        <v>-0.97934285714285707</v>
      </c>
      <c r="O106" s="11"/>
      <c r="P106" s="7">
        <v>3595.36</v>
      </c>
      <c r="Q106" s="2"/>
      <c r="R106" s="6">
        <f t="shared" si="73"/>
        <v>1.3547022577995429E-3</v>
      </c>
      <c r="S106" s="2"/>
      <c r="T106" s="7">
        <v>5500</v>
      </c>
      <c r="U106" s="2"/>
      <c r="V106" s="6">
        <f t="shared" si="74"/>
        <v>1.2570770581379854E-3</v>
      </c>
      <c r="W106" s="2"/>
      <c r="X106" s="7">
        <f t="shared" si="75"/>
        <v>-1904.6399999999999</v>
      </c>
      <c r="Y106" s="2"/>
      <c r="Z106" s="6">
        <f t="shared" si="76"/>
        <v>-0.34629818181818178</v>
      </c>
    </row>
    <row r="107" spans="1:26" s="25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418.4</v>
      </c>
      <c r="E107" s="1"/>
      <c r="F107" s="5">
        <f t="shared" ref="F107:F109" si="77">IF(D$12=0,0,D107/D$12)</f>
        <v>2.7902745859603308E-2</v>
      </c>
      <c r="G107" s="1"/>
      <c r="H107" s="1">
        <f>SUM(OSRRefH22_12x_0)</f>
        <v>600</v>
      </c>
      <c r="I107" s="1"/>
      <c r="J107" s="5">
        <f t="shared" ref="J107:J109" si="78">IF(H$12=0,0,H107/H$12)</f>
        <v>2.7153007195546908E-2</v>
      </c>
      <c r="K107" s="1"/>
      <c r="L107" s="1">
        <f t="shared" ref="L107:L109" si="79">+D107-H107</f>
        <v>-181.60000000000002</v>
      </c>
      <c r="M107" s="1"/>
      <c r="N107" s="5">
        <f t="shared" ref="N107:N109" si="80">IF(H107=0,0,L107/H107)</f>
        <v>-0.30266666666666669</v>
      </c>
      <c r="O107" s="13"/>
      <c r="P107" s="1">
        <f>SUM(OSRRefP22_12x_0)</f>
        <v>7181.95</v>
      </c>
      <c r="Q107" s="1"/>
      <c r="R107" s="5">
        <f t="shared" ref="R107:R109" si="81">IF(P$12=0,0,P107/P$12)</f>
        <v>2.7061000512892805E-3</v>
      </c>
      <c r="S107" s="1"/>
      <c r="T107" s="1">
        <f>SUM(OSRRefT22_12x_0)</f>
        <v>7700</v>
      </c>
      <c r="U107" s="1"/>
      <c r="V107" s="5">
        <f t="shared" ref="V107:V109" si="82">IF(T$12=0,0,T107/T$12)</f>
        <v>1.7599078813931796E-3</v>
      </c>
      <c r="W107" s="1"/>
      <c r="X107" s="1">
        <f t="shared" ref="X107:X109" si="83">+P107-T107</f>
        <v>-518.05000000000018</v>
      </c>
      <c r="Y107" s="1"/>
      <c r="Z107" s="5">
        <f t="shared" ref="Z107:Z109" si="84">IF(T107=0,0,X107/T107)</f>
        <v>-6.72792207792208E-2</v>
      </c>
    </row>
    <row r="108" spans="1:26" s="24" customFormat="1" hidden="1" outlineLevel="2" x14ac:dyDescent="0.25">
      <c r="A108" s="26"/>
      <c r="B108" s="11" t="str">
        <f>CONCATENATE("          ", "6303", " - ", "DATA PHONE LINES")</f>
        <v xml:space="preserve">          6303 - DATA PHONE LINES</v>
      </c>
      <c r="C108" s="11"/>
      <c r="D108" s="7"/>
      <c r="E108" s="2"/>
      <c r="F108" s="6">
        <f t="shared" si="77"/>
        <v>0</v>
      </c>
      <c r="G108" s="2"/>
      <c r="H108" s="7">
        <v>300</v>
      </c>
      <c r="I108" s="2"/>
      <c r="J108" s="6">
        <f t="shared" si="78"/>
        <v>1.3576503597773454E-2</v>
      </c>
      <c r="K108" s="2"/>
      <c r="L108" s="7">
        <f t="shared" si="79"/>
        <v>-300</v>
      </c>
      <c r="M108" s="2"/>
      <c r="N108" s="6">
        <f t="shared" si="80"/>
        <v>-1</v>
      </c>
      <c r="O108" s="11"/>
      <c r="P108" s="7">
        <v>2950</v>
      </c>
      <c r="Q108" s="2"/>
      <c r="R108" s="6">
        <f t="shared" si="81"/>
        <v>1.1115358852823226E-3</v>
      </c>
      <c r="S108" s="2"/>
      <c r="T108" s="7">
        <v>2700</v>
      </c>
      <c r="U108" s="2"/>
      <c r="V108" s="6">
        <f t="shared" si="82"/>
        <v>6.1711055581319281E-4</v>
      </c>
      <c r="W108" s="2"/>
      <c r="X108" s="7">
        <f t="shared" si="83"/>
        <v>250</v>
      </c>
      <c r="Y108" s="2"/>
      <c r="Z108" s="6">
        <f t="shared" si="84"/>
        <v>9.2592592592592587E-2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7">
        <v>418.4</v>
      </c>
      <c r="E109" s="2"/>
      <c r="F109" s="6">
        <f t="shared" si="77"/>
        <v>2.7902745859603308E-2</v>
      </c>
      <c r="G109" s="2"/>
      <c r="H109" s="7">
        <v>300</v>
      </c>
      <c r="I109" s="2"/>
      <c r="J109" s="6">
        <f t="shared" si="78"/>
        <v>1.3576503597773454E-2</v>
      </c>
      <c r="K109" s="2"/>
      <c r="L109" s="7">
        <f t="shared" si="79"/>
        <v>118.39999999999998</v>
      </c>
      <c r="M109" s="2"/>
      <c r="N109" s="6">
        <f t="shared" si="80"/>
        <v>0.39466666666666661</v>
      </c>
      <c r="O109" s="11"/>
      <c r="P109" s="7">
        <v>4231.95</v>
      </c>
      <c r="Q109" s="2"/>
      <c r="R109" s="6">
        <f t="shared" si="81"/>
        <v>1.5945641660069577E-3</v>
      </c>
      <c r="S109" s="2"/>
      <c r="T109" s="7">
        <v>5000</v>
      </c>
      <c r="U109" s="2"/>
      <c r="V109" s="6">
        <f t="shared" si="82"/>
        <v>1.1427973255799869E-3</v>
      </c>
      <c r="W109" s="2"/>
      <c r="X109" s="7">
        <f t="shared" si="83"/>
        <v>-768.05000000000018</v>
      </c>
      <c r="Y109" s="2"/>
      <c r="Z109" s="6">
        <f t="shared" si="84"/>
        <v>-0.15361000000000002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85">IF(D$12=0,0,D110/D$12)</f>
        <v>0</v>
      </c>
      <c r="G110" s="1"/>
      <c r="H110" s="1">
        <f>SUM(OSRRefH22_13x_0)</f>
        <v>0</v>
      </c>
      <c r="I110" s="1"/>
      <c r="J110" s="5">
        <f t="shared" ref="J110:J113" si="86">IF(H$12=0,0,H110/H$12)</f>
        <v>0</v>
      </c>
      <c r="K110" s="1"/>
      <c r="L110" s="1">
        <f t="shared" ref="L110:L113" si="87">+D110-H110</f>
        <v>0</v>
      </c>
      <c r="M110" s="1"/>
      <c r="N110" s="5">
        <f t="shared" ref="N110:N113" si="88">IF(H110=0,0,L110/H110)</f>
        <v>0</v>
      </c>
      <c r="O110" s="13"/>
      <c r="P110" s="1">
        <f>SUM(OSRRefP22_13x_0)</f>
        <v>0</v>
      </c>
      <c r="Q110" s="1"/>
      <c r="R110" s="5">
        <f t="shared" ref="R110:R113" si="89">IF(P$12=0,0,P110/P$12)</f>
        <v>0</v>
      </c>
      <c r="S110" s="1"/>
      <c r="T110" s="1">
        <f>SUM(OSRRefT22_13x_0)</f>
        <v>5000</v>
      </c>
      <c r="U110" s="1"/>
      <c r="V110" s="5">
        <f t="shared" ref="V110:V113" si="90">IF(T$12=0,0,T110/T$12)</f>
        <v>1.1427973255799869E-3</v>
      </c>
      <c r="W110" s="1"/>
      <c r="X110" s="1">
        <f t="shared" ref="X110:X113" si="91">+P110-T110</f>
        <v>-5000</v>
      </c>
      <c r="Y110" s="1"/>
      <c r="Z110" s="5">
        <f t="shared" ref="Z110:Z113" si="92">IF(T110=0,0,X110/T110)</f>
        <v>-1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85"/>
        <v>0</v>
      </c>
      <c r="G111" s="2"/>
      <c r="H111" s="7"/>
      <c r="I111" s="2"/>
      <c r="J111" s="6">
        <f t="shared" si="86"/>
        <v>0</v>
      </c>
      <c r="K111" s="2"/>
      <c r="L111" s="7">
        <f t="shared" si="87"/>
        <v>0</v>
      </c>
      <c r="M111" s="2"/>
      <c r="N111" s="6">
        <f t="shared" si="88"/>
        <v>0</v>
      </c>
      <c r="O111" s="11"/>
      <c r="P111" s="7"/>
      <c r="Q111" s="2"/>
      <c r="R111" s="6">
        <f t="shared" si="89"/>
        <v>0</v>
      </c>
      <c r="S111" s="2"/>
      <c r="T111" s="7">
        <v>5000</v>
      </c>
      <c r="U111" s="2"/>
      <c r="V111" s="6">
        <f t="shared" si="90"/>
        <v>1.1427973255799869E-3</v>
      </c>
      <c r="W111" s="2"/>
      <c r="X111" s="7">
        <f t="shared" si="91"/>
        <v>-5000</v>
      </c>
      <c r="Y111" s="2"/>
      <c r="Z111" s="6">
        <f t="shared" si="92"/>
        <v>-1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5"/>
        <v>0</v>
      </c>
      <c r="G112" s="1"/>
      <c r="H112" s="1">
        <f>SUM(OSRRefH22_14x_0)</f>
        <v>0</v>
      </c>
      <c r="I112" s="1"/>
      <c r="J112" s="5">
        <f t="shared" si="86"/>
        <v>0</v>
      </c>
      <c r="K112" s="1"/>
      <c r="L112" s="1">
        <f t="shared" si="87"/>
        <v>0</v>
      </c>
      <c r="M112" s="1"/>
      <c r="N112" s="5">
        <f t="shared" si="88"/>
        <v>0</v>
      </c>
      <c r="O112" s="13"/>
      <c r="P112" s="1">
        <f>SUM(OSRRefP22_14x_0)</f>
        <v>0.16</v>
      </c>
      <c r="Q112" s="1"/>
      <c r="R112" s="5">
        <f t="shared" si="89"/>
        <v>6.028669208310903E-8</v>
      </c>
      <c r="S112" s="1"/>
      <c r="T112" s="1">
        <f>SUM(OSRRefT22_14x_0)</f>
        <v>0</v>
      </c>
      <c r="U112" s="1"/>
      <c r="V112" s="5">
        <f t="shared" si="90"/>
        <v>0</v>
      </c>
      <c r="W112" s="1"/>
      <c r="X112" s="1">
        <f t="shared" si="91"/>
        <v>0.16</v>
      </c>
      <c r="Y112" s="1"/>
      <c r="Z112" s="5">
        <f t="shared" si="92"/>
        <v>0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85"/>
        <v>0</v>
      </c>
      <c r="G113" s="2"/>
      <c r="H113" s="7"/>
      <c r="I113" s="2"/>
      <c r="J113" s="6">
        <f t="shared" si="86"/>
        <v>0</v>
      </c>
      <c r="K113" s="2"/>
      <c r="L113" s="7">
        <f t="shared" si="87"/>
        <v>0</v>
      </c>
      <c r="M113" s="2"/>
      <c r="N113" s="6">
        <f t="shared" si="88"/>
        <v>0</v>
      </c>
      <c r="O113" s="11"/>
      <c r="P113" s="7">
        <v>0.16</v>
      </c>
      <c r="Q113" s="2"/>
      <c r="R113" s="6">
        <f t="shared" si="89"/>
        <v>6.028669208310903E-8</v>
      </c>
      <c r="S113" s="2"/>
      <c r="T113" s="7"/>
      <c r="U113" s="2"/>
      <c r="V113" s="6">
        <f t="shared" si="90"/>
        <v>0</v>
      </c>
      <c r="W113" s="2"/>
      <c r="X113" s="7">
        <f t="shared" si="91"/>
        <v>0.16</v>
      </c>
      <c r="Y113" s="2"/>
      <c r="Z113" s="6">
        <f t="shared" si="92"/>
        <v>0</v>
      </c>
    </row>
    <row r="114" spans="1:26" s="59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8" t="s">
        <v>293</v>
      </c>
      <c r="C115" s="10"/>
      <c r="D115" s="4">
        <f>SUM(OSRRefD25x_0)</f>
        <v>4864.2299999999996</v>
      </c>
      <c r="E115" s="4"/>
      <c r="F115" s="12">
        <f t="shared" ref="F115:F118" si="93">IF(D$12=0,0,D115/D$12)</f>
        <v>0.32439142804172605</v>
      </c>
      <c r="G115" s="4"/>
      <c r="H115" s="4">
        <f>SUM(OSRRefH25x_0)</f>
        <v>600</v>
      </c>
      <c r="I115" s="4"/>
      <c r="J115" s="12">
        <f t="shared" ref="J115:J118" si="94">IF(H$12=0,0,H115/H$12)</f>
        <v>2.7153007195546908E-2</v>
      </c>
      <c r="K115" s="4"/>
      <c r="L115" s="4">
        <f t="shared" ref="L115:L118" si="95">+D115-H115</f>
        <v>4264.2299999999996</v>
      </c>
      <c r="M115" s="4"/>
      <c r="N115" s="12">
        <f t="shared" ref="N115:N118" si="96">IF(H115=0,0,L115/H115)</f>
        <v>7.1070499999999992</v>
      </c>
      <c r="O115" s="10"/>
      <c r="P115" s="4">
        <f>SUM(OSRRefP25x_0)</f>
        <v>330802.13</v>
      </c>
      <c r="Q115" s="4"/>
      <c r="R115" s="12">
        <f t="shared" ref="R115:R118" si="97">IF(P$12=0,0,P115/P$12)</f>
        <v>0.12464353844841627</v>
      </c>
      <c r="S115" s="4"/>
      <c r="T115" s="4">
        <f>SUM(OSRRefT25x_0)</f>
        <v>196680</v>
      </c>
      <c r="U115" s="4"/>
      <c r="V115" s="12">
        <f t="shared" ref="V115:V118" si="98">IF(T$12=0,0,T115/T$12)</f>
        <v>4.4953075599014361E-2</v>
      </c>
      <c r="W115" s="4"/>
      <c r="X115" s="4">
        <f t="shared" ref="X115:X118" si="99">+P115-T115</f>
        <v>134122.13</v>
      </c>
      <c r="Y115" s="4"/>
      <c r="Z115" s="12">
        <f t="shared" ref="Z115:Z118" si="100">IF(T115=0,0,X115/T115)</f>
        <v>0.68193069961358554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--6749.36</f>
        <v>6749.36</v>
      </c>
      <c r="E116" s="2"/>
      <c r="F116" s="19">
        <f t="shared" si="93"/>
        <v>0.45010917016006735</v>
      </c>
      <c r="G116" s="2"/>
      <c r="H116" s="2">
        <v>600</v>
      </c>
      <c r="I116" s="2"/>
      <c r="J116" s="19">
        <f t="shared" si="94"/>
        <v>2.7153007195546908E-2</v>
      </c>
      <c r="K116" s="2"/>
      <c r="L116" s="2">
        <f t="shared" si="95"/>
        <v>6149.36</v>
      </c>
      <c r="M116" s="2"/>
      <c r="N116" s="19">
        <f t="shared" si="96"/>
        <v>10.248933333333333</v>
      </c>
      <c r="O116" s="11"/>
      <c r="P116" s="2">
        <f>--31463.11</f>
        <v>31463.11</v>
      </c>
      <c r="Q116" s="2"/>
      <c r="R116" s="19">
        <f t="shared" si="97"/>
        <v>1.1855042653418678E-2</v>
      </c>
      <c r="S116" s="2"/>
      <c r="T116" s="2">
        <v>25600</v>
      </c>
      <c r="U116" s="2"/>
      <c r="V116" s="19">
        <f t="shared" si="98"/>
        <v>5.8511223069695325E-3</v>
      </c>
      <c r="W116" s="2"/>
      <c r="X116" s="2">
        <f t="shared" si="99"/>
        <v>5863.1100000000006</v>
      </c>
      <c r="Y116" s="2"/>
      <c r="Z116" s="19">
        <f t="shared" si="100"/>
        <v>0.22902773437500001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-2282.24</f>
        <v>-2282.2399999999998</v>
      </c>
      <c r="E117" s="2"/>
      <c r="F117" s="19">
        <f t="shared" si="93"/>
        <v>-0.15220067569460097</v>
      </c>
      <c r="G117" s="2"/>
      <c r="H117" s="2"/>
      <c r="I117" s="2"/>
      <c r="J117" s="19">
        <f t="shared" si="94"/>
        <v>0</v>
      </c>
      <c r="K117" s="2"/>
      <c r="L117" s="2">
        <f t="shared" si="95"/>
        <v>-2282.2399999999998</v>
      </c>
      <c r="M117" s="2"/>
      <c r="N117" s="19">
        <f t="shared" si="96"/>
        <v>0</v>
      </c>
      <c r="O117" s="11"/>
      <c r="P117" s="2">
        <f>--295628.46</f>
        <v>295628.46000000002</v>
      </c>
      <c r="Q117" s="2"/>
      <c r="R117" s="19">
        <f t="shared" si="97"/>
        <v>0.11139038711889822</v>
      </c>
      <c r="S117" s="2"/>
      <c r="T117" s="2">
        <v>171080</v>
      </c>
      <c r="U117" s="2"/>
      <c r="V117" s="19">
        <f t="shared" si="98"/>
        <v>3.9101953292044828E-2</v>
      </c>
      <c r="W117" s="2"/>
      <c r="X117" s="2">
        <f t="shared" si="99"/>
        <v>124548.46000000002</v>
      </c>
      <c r="Y117" s="2"/>
      <c r="Z117" s="19">
        <f t="shared" si="100"/>
        <v>0.72801297638531692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--397.11</f>
        <v>397.11</v>
      </c>
      <c r="E118" s="2"/>
      <c r="F118" s="19">
        <f t="shared" si="93"/>
        <v>2.6482933576259728E-2</v>
      </c>
      <c r="G118" s="2"/>
      <c r="H118" s="2"/>
      <c r="I118" s="2"/>
      <c r="J118" s="19">
        <f t="shared" si="94"/>
        <v>0</v>
      </c>
      <c r="K118" s="2"/>
      <c r="L118" s="2">
        <f t="shared" si="95"/>
        <v>397.11</v>
      </c>
      <c r="M118" s="2"/>
      <c r="N118" s="19">
        <f t="shared" si="96"/>
        <v>0</v>
      </c>
      <c r="O118" s="11"/>
      <c r="P118" s="2">
        <f>--3710.56</f>
        <v>3710.56</v>
      </c>
      <c r="Q118" s="2"/>
      <c r="R118" s="19">
        <f t="shared" si="97"/>
        <v>1.3981086760993815E-3</v>
      </c>
      <c r="S118" s="2"/>
      <c r="T118" s="2"/>
      <c r="U118" s="2"/>
      <c r="V118" s="19">
        <f t="shared" si="98"/>
        <v>0</v>
      </c>
      <c r="W118" s="2"/>
      <c r="X118" s="2">
        <f t="shared" si="99"/>
        <v>3710.56</v>
      </c>
      <c r="Y118" s="2"/>
      <c r="Z118" s="19">
        <f t="shared" si="100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277</v>
      </c>
      <c r="C120" s="29"/>
      <c r="D120" s="20">
        <f>+D55-D57+D115</f>
        <v>-36894.150000000009</v>
      </c>
      <c r="E120" s="14"/>
      <c r="F120" s="21">
        <f>IF(D$12=0,0,D120/D$12)</f>
        <v>-2.4604399884227619</v>
      </c>
      <c r="G120" s="14"/>
      <c r="H120" s="20">
        <f>+H55-H57+H115</f>
        <v>-39151.565417611528</v>
      </c>
      <c r="I120" s="14"/>
      <c r="J120" s="21">
        <f>IF(H$12=0,0,H120/H$12)</f>
        <v>-1.7718045625022187</v>
      </c>
      <c r="K120" s="16"/>
      <c r="L120" s="20">
        <f>+D120-H120</f>
        <v>2257.4154176115189</v>
      </c>
      <c r="M120" s="16"/>
      <c r="N120" s="21">
        <f>IF(H120=0,0,L120/H120)</f>
        <v>-5.7658369302292747E-2</v>
      </c>
      <c r="O120" s="28"/>
      <c r="P120" s="20">
        <f>+P55-P57+P115</f>
        <v>702266.60999999964</v>
      </c>
      <c r="Q120" s="14"/>
      <c r="R120" s="21">
        <f>IF(P$12=0,0,P120/P$12)</f>
        <v>0.26460831798324247</v>
      </c>
      <c r="S120" s="14"/>
      <c r="T120" s="20">
        <f>+T55-T57+T115</f>
        <v>884978.14325185004</v>
      </c>
      <c r="U120" s="14"/>
      <c r="V120" s="21">
        <f>IF(T$12=0,0,T120/T$12)</f>
        <v>0.20227013106099134</v>
      </c>
      <c r="W120" s="16"/>
      <c r="X120" s="20">
        <f>+P120-T120</f>
        <v>-182711.5332518504</v>
      </c>
      <c r="Y120" s="16"/>
      <c r="Z120" s="21">
        <f>IF(T120=0,0,X120/T120)</f>
        <v>-0.2064588087797031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128</v>
      </c>
      <c r="C122" s="10"/>
      <c r="D122" s="4">
        <v>24349.35</v>
      </c>
      <c r="E122" s="4"/>
      <c r="F122" s="12">
        <f>IF(D$12=0,0,D122/D$12)</f>
        <v>1.6238377746093016</v>
      </c>
      <c r="G122" s="4"/>
      <c r="H122" s="4">
        <v>25068</v>
      </c>
      <c r="I122" s="4"/>
      <c r="J122" s="12">
        <f>IF(H$12=0,0,H122/H$12)</f>
        <v>1.1344526406299498</v>
      </c>
      <c r="K122" s="4"/>
      <c r="L122" s="4">
        <f>+D122-H122</f>
        <v>-718.65000000000146</v>
      </c>
      <c r="M122" s="4"/>
      <c r="N122" s="12">
        <f>IF(H122=0,0,L122/H122)</f>
        <v>-2.8668022977501255E-2</v>
      </c>
      <c r="O122" s="10"/>
      <c r="P122" s="4">
        <v>546963.85</v>
      </c>
      <c r="Q122" s="4"/>
      <c r="R122" s="12">
        <f>IF(P$12=0,0,P122/P$12)</f>
        <v>0.20609150753463645</v>
      </c>
      <c r="S122" s="4"/>
      <c r="T122" s="4">
        <v>773716</v>
      </c>
      <c r="U122" s="4"/>
      <c r="V122" s="12">
        <f>IF(T$12=0,0,T122/T$12)</f>
        <v>0.17684011511168901</v>
      </c>
      <c r="W122" s="4"/>
      <c r="X122" s="4">
        <f>+P122-T122</f>
        <v>-226752.15000000002</v>
      </c>
      <c r="Y122" s="4"/>
      <c r="Z122" s="12">
        <f>IF(T122=0,0,X122/T122)</f>
        <v>-0.293068968458711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126</v>
      </c>
      <c r="C124" s="29"/>
      <c r="D124" s="34">
        <f>+D120-D122</f>
        <v>-61243.500000000007</v>
      </c>
      <c r="E124" s="14"/>
      <c r="F124" s="30">
        <f>IF(D$12=0,0,D124/D$12)</f>
        <v>-4.0842777630320635</v>
      </c>
      <c r="G124" s="14"/>
      <c r="H124" s="34">
        <f>+H120-H122</f>
        <v>-64219.565417611528</v>
      </c>
      <c r="I124" s="14"/>
      <c r="J124" s="30">
        <f>IF(H$12=0,0,H124/H$12)</f>
        <v>-2.9062572031321685</v>
      </c>
      <c r="K124" s="16"/>
      <c r="L124" s="34">
        <f>D124-H124</f>
        <v>2976.0654176115204</v>
      </c>
      <c r="M124" s="16"/>
      <c r="N124" s="30">
        <f>IF(H124=0,0,L124/H124)</f>
        <v>-4.6342036079792065E-2</v>
      </c>
      <c r="O124" s="28"/>
      <c r="P124" s="34">
        <f>+P120-P122</f>
        <v>155302.75999999966</v>
      </c>
      <c r="Q124" s="14"/>
      <c r="R124" s="30">
        <f>IF(P$12=0,0,P124/P$12)</f>
        <v>5.8516810448606002E-2</v>
      </c>
      <c r="S124" s="14"/>
      <c r="T124" s="34">
        <f>+T120-T122</f>
        <v>111262.14325185004</v>
      </c>
      <c r="U124" s="14"/>
      <c r="V124" s="30">
        <f>IF(T$12=0,0,T124/T$12)</f>
        <v>2.5430015949302318E-2</v>
      </c>
      <c r="W124" s="16"/>
      <c r="X124" s="34">
        <f>P124-T124</f>
        <v>44040.616748149623</v>
      </c>
      <c r="Y124" s="16"/>
      <c r="Z124" s="30">
        <f>IF(T124=0,0,X124/T124)</f>
        <v>0.39582750665210942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294</v>
      </c>
      <c r="C127" s="29"/>
      <c r="D127" s="31">
        <f>SUM(D124:D126)</f>
        <v>-61243.500000000007</v>
      </c>
      <c r="E127" s="14"/>
      <c r="F127" s="35">
        <f>IF(D$12=0,0,D127/D$12)</f>
        <v>-4.0842777630320635</v>
      </c>
      <c r="G127" s="14"/>
      <c r="H127" s="31">
        <f>SUM(H124:H126)</f>
        <v>-64219.565417611528</v>
      </c>
      <c r="I127" s="14"/>
      <c r="J127" s="35">
        <f>IF(H$12=0,0,H127/H$12)</f>
        <v>-2.9062572031321685</v>
      </c>
      <c r="K127" s="16"/>
      <c r="L127" s="31">
        <f>+D127-H127</f>
        <v>2976.0654176115204</v>
      </c>
      <c r="M127" s="16"/>
      <c r="N127" s="35">
        <f>IF(H127=0,0,L127/H127)</f>
        <v>-4.6342036079792065E-2</v>
      </c>
      <c r="O127" s="28"/>
      <c r="P127" s="31">
        <f>SUM(P124:P126)</f>
        <v>155302.75999999966</v>
      </c>
      <c r="Q127" s="14"/>
      <c r="R127" s="35">
        <f>IF(P$12=0,0,P127/P$12)</f>
        <v>5.8516810448606002E-2</v>
      </c>
      <c r="S127" s="14"/>
      <c r="T127" s="31">
        <f>SUM(T124:T126)</f>
        <v>111262.14325185004</v>
      </c>
      <c r="U127" s="14"/>
      <c r="V127" s="35">
        <f>IF(T$12=0,0,T127/T$12)</f>
        <v>2.5430015949302318E-2</v>
      </c>
      <c r="W127" s="16"/>
      <c r="X127" s="31">
        <f>+P127-T127</f>
        <v>44040.616748149623</v>
      </c>
      <c r="Y127" s="16"/>
      <c r="Z127" s="35">
        <f>IF(T127=0,0,X127/T127)</f>
        <v>0.39582750665210942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44295.96177361111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3" t="s">
        <v>56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4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11679.949999999997</v>
      </c>
      <c r="E12" s="4"/>
      <c r="F12" s="12"/>
      <c r="G12" s="4"/>
      <c r="H12" s="4">
        <f>SUM(OSRRefH13x_0)</f>
        <v>18567</v>
      </c>
      <c r="I12" s="4"/>
      <c r="J12" s="12"/>
      <c r="K12" s="4"/>
      <c r="L12" s="4">
        <f t="shared" ref="L12:L34" si="0">+D12-H12</f>
        <v>-6887.0500000000029</v>
      </c>
      <c r="M12" s="4"/>
      <c r="N12" s="12">
        <f t="shared" ref="N12:N34" si="1">IF(H12=0,0,L12/H12)</f>
        <v>-0.37092960629073102</v>
      </c>
      <c r="O12" s="10"/>
      <c r="P12" s="4">
        <f>SUM(OSRRefP13x_0)</f>
        <v>1877753.3999999994</v>
      </c>
      <c r="Q12" s="4"/>
      <c r="R12" s="12"/>
      <c r="S12" s="4"/>
      <c r="T12" s="4">
        <f>SUM(OSRRefT13x_0)</f>
        <v>2959256</v>
      </c>
      <c r="U12" s="4"/>
      <c r="V12" s="12"/>
      <c r="W12" s="4"/>
      <c r="X12" s="4">
        <f t="shared" ref="X12:X34" si="2">+P12-T12</f>
        <v>-1081502.6000000006</v>
      </c>
      <c r="Y12" s="4"/>
      <c r="Z12" s="12">
        <f t="shared" ref="Z12:Z34" si="3">IF(T12=0,0,X12/T12)</f>
        <v>-0.36546435996074705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-301.5</f>
        <v>-301.5</v>
      </c>
      <c r="E13" s="2"/>
      <c r="F13" s="19"/>
      <c r="G13" s="2"/>
      <c r="H13" s="2">
        <v>18567</v>
      </c>
      <c r="I13" s="2"/>
      <c r="J13" s="19"/>
      <c r="K13" s="2"/>
      <c r="L13" s="2">
        <f t="shared" si="0"/>
        <v>-18868.5</v>
      </c>
      <c r="M13" s="2"/>
      <c r="N13" s="19">
        <f t="shared" si="1"/>
        <v>-1.0162384876393602</v>
      </c>
      <c r="O13" s="11"/>
      <c r="P13" s="2">
        <f>-8358.81</f>
        <v>-8358.81</v>
      </c>
      <c r="Q13" s="2"/>
      <c r="R13" s="19"/>
      <c r="S13" s="2"/>
      <c r="T13" s="2">
        <v>2959256</v>
      </c>
      <c r="U13" s="2"/>
      <c r="V13" s="19"/>
      <c r="W13" s="2"/>
      <c r="X13" s="2">
        <f t="shared" si="2"/>
        <v>-2967614.81</v>
      </c>
      <c r="Y13" s="2"/>
      <c r="Z13" s="19">
        <f t="shared" si="3"/>
        <v>-1.0028246322724361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--6992.23</f>
        <v>6992.23</v>
      </c>
      <c r="E14" s="2"/>
      <c r="F14" s="19"/>
      <c r="G14" s="2"/>
      <c r="H14" s="2"/>
      <c r="I14" s="2"/>
      <c r="J14" s="19"/>
      <c r="K14" s="2"/>
      <c r="L14" s="2">
        <f t="shared" si="0"/>
        <v>6992.23</v>
      </c>
      <c r="M14" s="2"/>
      <c r="N14" s="19">
        <f t="shared" si="1"/>
        <v>0</v>
      </c>
      <c r="O14" s="11"/>
      <c r="P14" s="2">
        <f>--969010.31</f>
        <v>969010.31</v>
      </c>
      <c r="Q14" s="2"/>
      <c r="R14" s="19"/>
      <c r="S14" s="2"/>
      <c r="T14" s="2"/>
      <c r="U14" s="2"/>
      <c r="V14" s="19"/>
      <c r="W14" s="2"/>
      <c r="X14" s="2">
        <f t="shared" si="2"/>
        <v>969010.31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--1145.4</f>
        <v>1145.4000000000001</v>
      </c>
      <c r="E15" s="2"/>
      <c r="F15" s="19"/>
      <c r="G15" s="2"/>
      <c r="H15" s="2"/>
      <c r="I15" s="2"/>
      <c r="J15" s="19"/>
      <c r="K15" s="2"/>
      <c r="L15" s="2">
        <f t="shared" si="0"/>
        <v>1145.4000000000001</v>
      </c>
      <c r="M15" s="2"/>
      <c r="N15" s="19">
        <f t="shared" si="1"/>
        <v>0</v>
      </c>
      <c r="O15" s="11"/>
      <c r="P15" s="2">
        <f>--350242.37</f>
        <v>350242.37</v>
      </c>
      <c r="Q15" s="2"/>
      <c r="R15" s="19"/>
      <c r="S15" s="2"/>
      <c r="T15" s="2"/>
      <c r="U15" s="2"/>
      <c r="V15" s="19"/>
      <c r="W15" s="2"/>
      <c r="X15" s="2">
        <f t="shared" si="2"/>
        <v>350242.37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--49.99</f>
        <v>49.99</v>
      </c>
      <c r="E16" s="2"/>
      <c r="F16" s="19"/>
      <c r="G16" s="2"/>
      <c r="H16" s="2"/>
      <c r="I16" s="2"/>
      <c r="J16" s="19"/>
      <c r="K16" s="2"/>
      <c r="L16" s="2">
        <f t="shared" si="0"/>
        <v>49.99</v>
      </c>
      <c r="M16" s="2"/>
      <c r="N16" s="19">
        <f t="shared" si="1"/>
        <v>0</v>
      </c>
      <c r="O16" s="11"/>
      <c r="P16" s="2">
        <f>--17977.88</f>
        <v>17977.88</v>
      </c>
      <c r="Q16" s="2"/>
      <c r="R16" s="19"/>
      <c r="S16" s="2"/>
      <c r="T16" s="2"/>
      <c r="U16" s="2"/>
      <c r="V16" s="19"/>
      <c r="W16" s="2"/>
      <c r="X16" s="2">
        <f t="shared" si="2"/>
        <v>17977.88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--29.21</f>
        <v>29.21</v>
      </c>
      <c r="E18" s="2"/>
      <c r="F18" s="19"/>
      <c r="G18" s="2"/>
      <c r="H18" s="2"/>
      <c r="I18" s="2"/>
      <c r="J18" s="19"/>
      <c r="K18" s="2"/>
      <c r="L18" s="2">
        <f t="shared" si="0"/>
        <v>29.21</v>
      </c>
      <c r="M18" s="2"/>
      <c r="N18" s="19">
        <f t="shared" si="1"/>
        <v>0</v>
      </c>
      <c r="O18" s="11"/>
      <c r="P18" s="2">
        <f>--1202.02</f>
        <v>1202.02</v>
      </c>
      <c r="Q18" s="2"/>
      <c r="R18" s="19"/>
      <c r="S18" s="2"/>
      <c r="T18" s="2"/>
      <c r="U18" s="2"/>
      <c r="V18" s="19"/>
      <c r="W18" s="2"/>
      <c r="X18" s="2">
        <f t="shared" si="2"/>
        <v>1202.02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19"/>
      <c r="G19" s="2"/>
      <c r="H19" s="2"/>
      <c r="I19" s="2"/>
      <c r="J19" s="19"/>
      <c r="K19" s="2"/>
      <c r="L19" s="2">
        <f t="shared" si="0"/>
        <v>35.82</v>
      </c>
      <c r="M19" s="2"/>
      <c r="N19" s="19">
        <f t="shared" si="1"/>
        <v>0</v>
      </c>
      <c r="O19" s="11"/>
      <c r="P19" s="2">
        <f>--447.7</f>
        <v>447.7</v>
      </c>
      <c r="Q19" s="2"/>
      <c r="R19" s="19"/>
      <c r="S19" s="2"/>
      <c r="T19" s="2"/>
      <c r="U19" s="2"/>
      <c r="V19" s="19"/>
      <c r="W19" s="2"/>
      <c r="X19" s="2">
        <f t="shared" si="2"/>
        <v>447.7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--67.3</f>
        <v>67.3</v>
      </c>
      <c r="E20" s="2"/>
      <c r="F20" s="19"/>
      <c r="G20" s="2"/>
      <c r="H20" s="2"/>
      <c r="I20" s="2"/>
      <c r="J20" s="19"/>
      <c r="K20" s="2"/>
      <c r="L20" s="2">
        <f t="shared" si="0"/>
        <v>67.3</v>
      </c>
      <c r="M20" s="2"/>
      <c r="N20" s="19">
        <f t="shared" si="1"/>
        <v>0</v>
      </c>
      <c r="O20" s="11"/>
      <c r="P20" s="2">
        <f>--400.14</f>
        <v>400.14</v>
      </c>
      <c r="Q20" s="2"/>
      <c r="R20" s="19"/>
      <c r="S20" s="2"/>
      <c r="T20" s="2"/>
      <c r="U20" s="2"/>
      <c r="V20" s="19"/>
      <c r="W20" s="2"/>
      <c r="X20" s="2">
        <f t="shared" si="2"/>
        <v>400.14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--1044.17</f>
        <v>1044.17</v>
      </c>
      <c r="E21" s="2"/>
      <c r="F21" s="19"/>
      <c r="G21" s="2"/>
      <c r="H21" s="2"/>
      <c r="I21" s="2"/>
      <c r="J21" s="19"/>
      <c r="K21" s="2"/>
      <c r="L21" s="2">
        <f t="shared" si="0"/>
        <v>1044.17</v>
      </c>
      <c r="M21" s="2"/>
      <c r="N21" s="19">
        <f t="shared" si="1"/>
        <v>0</v>
      </c>
      <c r="O21" s="11"/>
      <c r="P21" s="2">
        <f>--112055.71</f>
        <v>112055.71</v>
      </c>
      <c r="Q21" s="2"/>
      <c r="R21" s="19"/>
      <c r="S21" s="2"/>
      <c r="T21" s="2"/>
      <c r="U21" s="2"/>
      <c r="V21" s="19"/>
      <c r="W21" s="2"/>
      <c r="X21" s="2">
        <f t="shared" si="2"/>
        <v>112055.71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--1572.06</f>
        <v>1572.06</v>
      </c>
      <c r="E22" s="2"/>
      <c r="F22" s="19"/>
      <c r="G22" s="2"/>
      <c r="H22" s="2"/>
      <c r="I22" s="2"/>
      <c r="J22" s="19"/>
      <c r="K22" s="2"/>
      <c r="L22" s="2">
        <f t="shared" si="0"/>
        <v>1572.06</v>
      </c>
      <c r="M22" s="2"/>
      <c r="N22" s="19">
        <f t="shared" si="1"/>
        <v>0</v>
      </c>
      <c r="O22" s="11"/>
      <c r="P22" s="2">
        <f>--47959.43</f>
        <v>47959.43</v>
      </c>
      <c r="Q22" s="2"/>
      <c r="R22" s="19"/>
      <c r="S22" s="2"/>
      <c r="T22" s="2"/>
      <c r="U22" s="2"/>
      <c r="V22" s="19"/>
      <c r="W22" s="2"/>
      <c r="X22" s="2">
        <f t="shared" si="2"/>
        <v>47959.43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--1138.95</f>
        <v>1138.95</v>
      </c>
      <c r="Q23" s="2"/>
      <c r="R23" s="19"/>
      <c r="S23" s="2"/>
      <c r="T23" s="2"/>
      <c r="U23" s="2"/>
      <c r="V23" s="19"/>
      <c r="W23" s="2"/>
      <c r="X23" s="2">
        <f t="shared" si="2"/>
        <v>1138.95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--1097.13</f>
        <v>1097.1300000000001</v>
      </c>
      <c r="E24" s="2"/>
      <c r="F24" s="19"/>
      <c r="G24" s="2"/>
      <c r="H24" s="2"/>
      <c r="I24" s="2"/>
      <c r="J24" s="19"/>
      <c r="K24" s="2"/>
      <c r="L24" s="2">
        <f t="shared" si="0"/>
        <v>1097.1300000000001</v>
      </c>
      <c r="M24" s="2"/>
      <c r="N24" s="19">
        <f t="shared" si="1"/>
        <v>0</v>
      </c>
      <c r="O24" s="11"/>
      <c r="P24" s="2">
        <f>--476971.18</f>
        <v>476971.18</v>
      </c>
      <c r="Q24" s="2"/>
      <c r="R24" s="19"/>
      <c r="S24" s="2"/>
      <c r="T24" s="2"/>
      <c r="U24" s="2"/>
      <c r="V24" s="19"/>
      <c r="W24" s="2"/>
      <c r="X24" s="2">
        <f t="shared" si="2"/>
        <v>476971.18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--1250</f>
        <v>1250</v>
      </c>
      <c r="E25" s="2"/>
      <c r="F25" s="19"/>
      <c r="G25" s="2"/>
      <c r="H25" s="2"/>
      <c r="I25" s="2"/>
      <c r="J25" s="19"/>
      <c r="K25" s="2"/>
      <c r="L25" s="2">
        <f t="shared" si="0"/>
        <v>1250</v>
      </c>
      <c r="M25" s="2"/>
      <c r="N25" s="19">
        <f t="shared" si="1"/>
        <v>0</v>
      </c>
      <c r="O25" s="11"/>
      <c r="P25" s="2">
        <f>--11389.25</f>
        <v>11389.25</v>
      </c>
      <c r="Q25" s="2"/>
      <c r="R25" s="19"/>
      <c r="S25" s="2"/>
      <c r="T25" s="2"/>
      <c r="U25" s="2"/>
      <c r="V25" s="19"/>
      <c r="W25" s="2"/>
      <c r="X25" s="2">
        <f t="shared" si="2"/>
        <v>11389.25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--771.73</f>
        <v>771.73</v>
      </c>
      <c r="Q26" s="2"/>
      <c r="R26" s="19"/>
      <c r="S26" s="2"/>
      <c r="T26" s="2"/>
      <c r="U26" s="2"/>
      <c r="V26" s="19"/>
      <c r="W26" s="2"/>
      <c r="X26" s="2">
        <f t="shared" si="2"/>
        <v>771.73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-596.94</f>
        <v>-596.94000000000005</v>
      </c>
      <c r="E27" s="2"/>
      <c r="F27" s="19"/>
      <c r="G27" s="2"/>
      <c r="H27" s="2"/>
      <c r="I27" s="2"/>
      <c r="J27" s="19"/>
      <c r="K27" s="2"/>
      <c r="L27" s="2">
        <f t="shared" si="0"/>
        <v>-596.94000000000005</v>
      </c>
      <c r="M27" s="2"/>
      <c r="N27" s="19">
        <f t="shared" si="1"/>
        <v>0</v>
      </c>
      <c r="O27" s="11"/>
      <c r="P27" s="2">
        <f>-51261.17</f>
        <v>-51261.17</v>
      </c>
      <c r="Q27" s="2"/>
      <c r="R27" s="19"/>
      <c r="S27" s="2"/>
      <c r="T27" s="2"/>
      <c r="U27" s="2"/>
      <c r="V27" s="19"/>
      <c r="W27" s="2"/>
      <c r="X27" s="2">
        <f t="shared" si="2"/>
        <v>-51261.17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-153.8</f>
        <v>-153.80000000000001</v>
      </c>
      <c r="E28" s="2"/>
      <c r="F28" s="19"/>
      <c r="G28" s="2"/>
      <c r="H28" s="2"/>
      <c r="I28" s="2"/>
      <c r="J28" s="19"/>
      <c r="K28" s="2"/>
      <c r="L28" s="2">
        <f t="shared" si="0"/>
        <v>-153.80000000000001</v>
      </c>
      <c r="M28" s="2"/>
      <c r="N28" s="19">
        <f t="shared" si="1"/>
        <v>0</v>
      </c>
      <c r="O28" s="11"/>
      <c r="P28" s="2">
        <f>-19889.31</f>
        <v>-19889.310000000001</v>
      </c>
      <c r="Q28" s="2"/>
      <c r="R28" s="19"/>
      <c r="S28" s="2"/>
      <c r="T28" s="2"/>
      <c r="U28" s="2"/>
      <c r="V28" s="19"/>
      <c r="W28" s="2"/>
      <c r="X28" s="2">
        <f t="shared" si="2"/>
        <v>-19889.310000000001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ref="D29:D30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-1763.1</f>
        <v>-1763.1</v>
      </c>
      <c r="Q29" s="2"/>
      <c r="R29" s="19"/>
      <c r="S29" s="2"/>
      <c r="T29" s="2"/>
      <c r="U29" s="2"/>
      <c r="V29" s="19"/>
      <c r="W29" s="2"/>
      <c r="X29" s="2">
        <f t="shared" si="2"/>
        <v>-1763.1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-69.93</f>
        <v>-69.930000000000007</v>
      </c>
      <c r="Q30" s="2"/>
      <c r="R30" s="19"/>
      <c r="S30" s="2"/>
      <c r="T30" s="2"/>
      <c r="U30" s="2"/>
      <c r="V30" s="19"/>
      <c r="W30" s="2"/>
      <c r="X30" s="2">
        <f t="shared" si="2"/>
        <v>-69.930000000000007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-5.21</f>
        <v>-5.21</v>
      </c>
      <c r="E31" s="2"/>
      <c r="F31" s="19"/>
      <c r="G31" s="2"/>
      <c r="H31" s="2"/>
      <c r="I31" s="2"/>
      <c r="J31" s="19"/>
      <c r="K31" s="2"/>
      <c r="L31" s="2">
        <f t="shared" si="0"/>
        <v>-5.21</v>
      </c>
      <c r="M31" s="2"/>
      <c r="N31" s="19">
        <f t="shared" si="1"/>
        <v>0</v>
      </c>
      <c r="O31" s="11"/>
      <c r="P31" s="2">
        <f>-5.21</f>
        <v>-5.21</v>
      </c>
      <c r="Q31" s="2"/>
      <c r="R31" s="19"/>
      <c r="S31" s="2"/>
      <c r="T31" s="2"/>
      <c r="U31" s="2"/>
      <c r="V31" s="19"/>
      <c r="W31" s="2"/>
      <c r="X31" s="2">
        <f t="shared" si="2"/>
        <v>-5.21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-3237.29</f>
        <v>-3237.29</v>
      </c>
      <c r="Q32" s="2"/>
      <c r="R32" s="19"/>
      <c r="S32" s="2"/>
      <c r="T32" s="2"/>
      <c r="U32" s="2"/>
      <c r="V32" s="19"/>
      <c r="W32" s="2"/>
      <c r="X32" s="2">
        <f t="shared" si="2"/>
        <v>-3237.29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-270.87</f>
        <v>-270.87</v>
      </c>
      <c r="E33" s="2"/>
      <c r="F33" s="19"/>
      <c r="G33" s="2"/>
      <c r="H33" s="2"/>
      <c r="I33" s="2"/>
      <c r="J33" s="19"/>
      <c r="K33" s="2"/>
      <c r="L33" s="2">
        <f t="shared" si="0"/>
        <v>-270.87</v>
      </c>
      <c r="M33" s="2"/>
      <c r="N33" s="19">
        <f t="shared" si="1"/>
        <v>0</v>
      </c>
      <c r="O33" s="11"/>
      <c r="P33" s="2">
        <f>-2344.35</f>
        <v>-2344.35</v>
      </c>
      <c r="Q33" s="2"/>
      <c r="R33" s="19"/>
      <c r="S33" s="2"/>
      <c r="T33" s="2"/>
      <c r="U33" s="2"/>
      <c r="V33" s="19"/>
      <c r="W33" s="2"/>
      <c r="X33" s="2">
        <f t="shared" si="2"/>
        <v>-2344.35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-275.04</f>
        <v>-275.04000000000002</v>
      </c>
      <c r="E34" s="2"/>
      <c r="F34" s="19"/>
      <c r="G34" s="2"/>
      <c r="H34" s="2"/>
      <c r="I34" s="2"/>
      <c r="J34" s="19"/>
      <c r="K34" s="2"/>
      <c r="L34" s="2">
        <f t="shared" si="0"/>
        <v>-275.04000000000002</v>
      </c>
      <c r="M34" s="2"/>
      <c r="N34" s="19">
        <f t="shared" si="1"/>
        <v>0</v>
      </c>
      <c r="O34" s="11"/>
      <c r="P34" s="2">
        <f>-27543.76</f>
        <v>-27543.759999999998</v>
      </c>
      <c r="Q34" s="2"/>
      <c r="R34" s="19"/>
      <c r="S34" s="2"/>
      <c r="T34" s="2"/>
      <c r="U34" s="2"/>
      <c r="V34" s="19"/>
      <c r="W34" s="2"/>
      <c r="X34" s="2">
        <f t="shared" si="2"/>
        <v>-27543.759999999998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257</v>
      </c>
      <c r="C36" s="10"/>
      <c r="D36" s="4">
        <f>SUM(OSRRefD16x_0)</f>
        <v>8920.0000000000182</v>
      </c>
      <c r="E36" s="4"/>
      <c r="F36" s="12">
        <f t="shared" ref="F36:F52" si="5">IF(D$12=0,0,D36/D$12)</f>
        <v>0.76370189940881772</v>
      </c>
      <c r="G36" s="4"/>
      <c r="H36" s="4">
        <f>SUM(OSRRefH16x_0)</f>
        <v>13554</v>
      </c>
      <c r="I36" s="4"/>
      <c r="J36" s="12">
        <f t="shared" ref="J36:J52" si="6">IF(H$12=0,0,H36/H$12)</f>
        <v>0.73000484730974313</v>
      </c>
      <c r="K36" s="4"/>
      <c r="L36" s="4">
        <f t="shared" ref="L36:L52" si="7">+D36-H36</f>
        <v>-4633.9999999999818</v>
      </c>
      <c r="M36" s="4"/>
      <c r="N36" s="12">
        <f t="shared" ref="N36:N52" si="8">IF(H36=0,0,L36/H36)</f>
        <v>-0.34189169248930074</v>
      </c>
      <c r="O36" s="10"/>
      <c r="P36" s="4">
        <f>SUM(OSRRefP16x_0)</f>
        <v>1330328</v>
      </c>
      <c r="Q36" s="4"/>
      <c r="R36" s="12">
        <f t="shared" ref="R36:R52" si="9">IF(P$12=0,0,P36/P$12)</f>
        <v>0.70846789573114366</v>
      </c>
      <c r="S36" s="4"/>
      <c r="T36" s="4">
        <f>SUM(OSRRefT16x_0)</f>
        <v>2152628</v>
      </c>
      <c r="U36" s="4"/>
      <c r="V36" s="12">
        <f t="shared" ref="V36:V52" si="10">IF(T$12=0,0,T36/T$12)</f>
        <v>0.727422027698854</v>
      </c>
      <c r="W36" s="4"/>
      <c r="X36" s="4">
        <f t="shared" ref="X36:X52" si="11">+P36-T36</f>
        <v>-822300</v>
      </c>
      <c r="Y36" s="4"/>
      <c r="Z36" s="12">
        <f t="shared" ref="Z36:Z52" si="12">IF(T36=0,0,X36/T36)</f>
        <v>-0.3819981901192403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>
        <v>0</v>
      </c>
      <c r="E37" s="2"/>
      <c r="F37" s="19">
        <f t="shared" si="5"/>
        <v>0</v>
      </c>
      <c r="G37" s="2"/>
      <c r="H37" s="2">
        <v>13554</v>
      </c>
      <c r="I37" s="2"/>
      <c r="J37" s="19">
        <f t="shared" si="6"/>
        <v>0.73000484730974313</v>
      </c>
      <c r="K37" s="2"/>
      <c r="L37" s="2">
        <f t="shared" si="7"/>
        <v>-13554</v>
      </c>
      <c r="M37" s="2"/>
      <c r="N37" s="19">
        <f t="shared" si="8"/>
        <v>-1</v>
      </c>
      <c r="O37" s="11"/>
      <c r="P37" s="2">
        <v>0</v>
      </c>
      <c r="Q37" s="2"/>
      <c r="R37" s="19">
        <f t="shared" si="9"/>
        <v>0</v>
      </c>
      <c r="S37" s="2"/>
      <c r="T37" s="2">
        <v>2152628</v>
      </c>
      <c r="U37" s="2"/>
      <c r="V37" s="19">
        <f t="shared" si="10"/>
        <v>0.727422027698854</v>
      </c>
      <c r="W37" s="2"/>
      <c r="X37" s="2">
        <f t="shared" si="11"/>
        <v>-2152628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-291124.47999999998</v>
      </c>
      <c r="E38" s="2"/>
      <c r="F38" s="19">
        <f t="shared" si="5"/>
        <v>-24.925147796009405</v>
      </c>
      <c r="G38" s="2"/>
      <c r="H38" s="2"/>
      <c r="I38" s="2"/>
      <c r="J38" s="19">
        <f t="shared" si="6"/>
        <v>0</v>
      </c>
      <c r="K38" s="2"/>
      <c r="L38" s="2">
        <f t="shared" si="7"/>
        <v>-291124.47999999998</v>
      </c>
      <c r="M38" s="2"/>
      <c r="N38" s="19">
        <f t="shared" si="8"/>
        <v>0</v>
      </c>
      <c r="O38" s="11"/>
      <c r="P38" s="2">
        <v>735086.26</v>
      </c>
      <c r="Q38" s="2"/>
      <c r="R38" s="19">
        <f t="shared" si="9"/>
        <v>0.39147113779690146</v>
      </c>
      <c r="S38" s="2"/>
      <c r="T38" s="2"/>
      <c r="U38" s="2"/>
      <c r="V38" s="19">
        <f t="shared" si="10"/>
        <v>0</v>
      </c>
      <c r="W38" s="2"/>
      <c r="X38" s="2">
        <f t="shared" si="11"/>
        <v>735086.26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14130.32</v>
      </c>
      <c r="E39" s="2"/>
      <c r="F39" s="19">
        <f t="shared" si="5"/>
        <v>1.2097928501406259</v>
      </c>
      <c r="G39" s="2"/>
      <c r="H39" s="2"/>
      <c r="I39" s="2"/>
      <c r="J39" s="19">
        <f t="shared" si="6"/>
        <v>0</v>
      </c>
      <c r="K39" s="2"/>
      <c r="L39" s="2">
        <f t="shared" si="7"/>
        <v>14130.32</v>
      </c>
      <c r="M39" s="2"/>
      <c r="N39" s="19">
        <f t="shared" si="8"/>
        <v>0</v>
      </c>
      <c r="O39" s="11"/>
      <c r="P39" s="2">
        <v>154560.09</v>
      </c>
      <c r="Q39" s="2"/>
      <c r="R39" s="19">
        <f t="shared" si="9"/>
        <v>8.2311175684730509E-2</v>
      </c>
      <c r="S39" s="2"/>
      <c r="T39" s="2"/>
      <c r="U39" s="2"/>
      <c r="V39" s="19">
        <f t="shared" si="10"/>
        <v>0</v>
      </c>
      <c r="W39" s="2"/>
      <c r="X39" s="2">
        <f t="shared" si="11"/>
        <v>154560.09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32.520000000000003</v>
      </c>
      <c r="Q40" s="2"/>
      <c r="R40" s="19">
        <f t="shared" si="9"/>
        <v>1.7318568029220458E-5</v>
      </c>
      <c r="S40" s="2"/>
      <c r="T40" s="2"/>
      <c r="U40" s="2"/>
      <c r="V40" s="19">
        <f t="shared" si="10"/>
        <v>0</v>
      </c>
      <c r="W40" s="2"/>
      <c r="X40" s="2">
        <f t="shared" si="11"/>
        <v>32.520000000000003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-13446.08</v>
      </c>
      <c r="E41" s="2"/>
      <c r="F41" s="19">
        <f t="shared" si="5"/>
        <v>-1.1512104075787999</v>
      </c>
      <c r="G41" s="2"/>
      <c r="H41" s="2"/>
      <c r="I41" s="2"/>
      <c r="J41" s="19">
        <f t="shared" si="6"/>
        <v>0</v>
      </c>
      <c r="K41" s="2"/>
      <c r="L41" s="2">
        <f t="shared" si="7"/>
        <v>-13446.08</v>
      </c>
      <c r="M41" s="2"/>
      <c r="N41" s="19">
        <f t="shared" si="8"/>
        <v>0</v>
      </c>
      <c r="O41" s="11"/>
      <c r="P41" s="2">
        <v>206562.5</v>
      </c>
      <c r="Q41" s="2"/>
      <c r="R41" s="19">
        <f t="shared" si="9"/>
        <v>0.11000512633874078</v>
      </c>
      <c r="S41" s="2"/>
      <c r="T41" s="2"/>
      <c r="U41" s="2"/>
      <c r="V41" s="19">
        <f t="shared" si="10"/>
        <v>0</v>
      </c>
      <c r="W41" s="2"/>
      <c r="X41" s="2">
        <f t="shared" si="11"/>
        <v>206562.5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"5011", " - ", "PURCHASES @ COST-NO VALUE TEXT")</f>
        <v xml:space="preserve">          5011 - PURCHASES @ COST-NO VALUE TEXT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67.17</v>
      </c>
      <c r="Q42" s="2"/>
      <c r="R42" s="19">
        <f t="shared" si="9"/>
        <v>3.5771470311277309E-5</v>
      </c>
      <c r="S42" s="2"/>
      <c r="T42" s="2"/>
      <c r="U42" s="2"/>
      <c r="V42" s="19">
        <f t="shared" si="10"/>
        <v>0</v>
      </c>
      <c r="W42" s="2"/>
      <c r="X42" s="2">
        <f t="shared" si="11"/>
        <v>67.17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"5013", " - ", "PURCHASES @ COST-TRADE BOOKS")</f>
        <v xml:space="preserve">          5013 - PURCHASES @ COST-TRADE BOOKS</v>
      </c>
      <c r="C43" s="11"/>
      <c r="D43" s="2">
        <v>2907.93</v>
      </c>
      <c r="E43" s="2"/>
      <c r="F43" s="19">
        <f t="shared" si="5"/>
        <v>0.24896767537532272</v>
      </c>
      <c r="G43" s="2"/>
      <c r="H43" s="2"/>
      <c r="I43" s="2"/>
      <c r="J43" s="19">
        <f t="shared" si="6"/>
        <v>0</v>
      </c>
      <c r="K43" s="2"/>
      <c r="L43" s="2">
        <f t="shared" si="7"/>
        <v>2907.93</v>
      </c>
      <c r="M43" s="2"/>
      <c r="N43" s="19">
        <f t="shared" si="8"/>
        <v>0</v>
      </c>
      <c r="O43" s="11"/>
      <c r="P43" s="2">
        <v>8870.02</v>
      </c>
      <c r="Q43" s="2"/>
      <c r="R43" s="19">
        <f t="shared" si="9"/>
        <v>4.723740614715438E-3</v>
      </c>
      <c r="S43" s="2"/>
      <c r="T43" s="2"/>
      <c r="U43" s="2"/>
      <c r="V43" s="19">
        <f t="shared" si="10"/>
        <v>0</v>
      </c>
      <c r="W43" s="2"/>
      <c r="X43" s="2">
        <f t="shared" si="11"/>
        <v>8870.02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111.57</v>
      </c>
      <c r="Q44" s="2"/>
      <c r="R44" s="19">
        <f t="shared" si="9"/>
        <v>5.9416747694345824E-5</v>
      </c>
      <c r="S44" s="2"/>
      <c r="T44" s="2"/>
      <c r="U44" s="2"/>
      <c r="V44" s="19">
        <f t="shared" si="10"/>
        <v>0</v>
      </c>
      <c r="W44" s="2"/>
      <c r="X44" s="2">
        <f t="shared" si="11"/>
        <v>111.57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"5018", " - ", "PURCHASES @ COST-STUDY GUIDES")</f>
        <v xml:space="preserve">          5018 - PURCHASES @ COST-STUDY GUIDES</v>
      </c>
      <c r="C45" s="11"/>
      <c r="D45" s="2">
        <v>444.87</v>
      </c>
      <c r="E45" s="2"/>
      <c r="F45" s="19">
        <f t="shared" si="5"/>
        <v>3.8088347980941711E-2</v>
      </c>
      <c r="G45" s="2"/>
      <c r="H45" s="2"/>
      <c r="I45" s="2"/>
      <c r="J45" s="19">
        <f t="shared" si="6"/>
        <v>0</v>
      </c>
      <c r="K45" s="2"/>
      <c r="L45" s="2">
        <f t="shared" si="7"/>
        <v>444.87</v>
      </c>
      <c r="M45" s="2"/>
      <c r="N45" s="19">
        <f t="shared" si="8"/>
        <v>0</v>
      </c>
      <c r="O45" s="11"/>
      <c r="P45" s="2">
        <v>967.21</v>
      </c>
      <c r="Q45" s="2"/>
      <c r="R45" s="19">
        <f t="shared" si="9"/>
        <v>5.1508893553328162E-4</v>
      </c>
      <c r="S45" s="2"/>
      <c r="T45" s="2"/>
      <c r="U45" s="2"/>
      <c r="V45" s="19">
        <f t="shared" si="10"/>
        <v>0</v>
      </c>
      <c r="W45" s="2"/>
      <c r="X45" s="2">
        <f t="shared" si="11"/>
        <v>967.21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285586.77</v>
      </c>
      <c r="E46" s="2"/>
      <c r="F46" s="19">
        <f t="shared" si="5"/>
        <v>24.451026759532368</v>
      </c>
      <c r="G46" s="2"/>
      <c r="H46" s="2"/>
      <c r="I46" s="2"/>
      <c r="J46" s="19">
        <f t="shared" si="6"/>
        <v>0</v>
      </c>
      <c r="K46" s="2"/>
      <c r="L46" s="2">
        <f t="shared" si="7"/>
        <v>285586.77</v>
      </c>
      <c r="M46" s="2"/>
      <c r="N46" s="19">
        <f t="shared" si="8"/>
        <v>0</v>
      </c>
      <c r="O46" s="11"/>
      <c r="P46" s="2">
        <v>-1174214.1299999999</v>
      </c>
      <c r="Q46" s="2"/>
      <c r="R46" s="19">
        <f t="shared" si="9"/>
        <v>-0.62532925249928994</v>
      </c>
      <c r="S46" s="2"/>
      <c r="T46" s="2"/>
      <c r="U46" s="2"/>
      <c r="V46" s="19">
        <f t="shared" si="10"/>
        <v>0</v>
      </c>
      <c r="W46" s="2"/>
      <c r="X46" s="2">
        <f t="shared" si="11"/>
        <v>-1174214.1299999999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8920</v>
      </c>
      <c r="E47" s="2"/>
      <c r="F47" s="19">
        <f t="shared" si="5"/>
        <v>0.76370189940881616</v>
      </c>
      <c r="G47" s="2"/>
      <c r="H47" s="2"/>
      <c r="I47" s="2"/>
      <c r="J47" s="19">
        <f t="shared" si="6"/>
        <v>0</v>
      </c>
      <c r="K47" s="2"/>
      <c r="L47" s="2">
        <f t="shared" si="7"/>
        <v>8920</v>
      </c>
      <c r="M47" s="2"/>
      <c r="N47" s="19">
        <f t="shared" si="8"/>
        <v>0</v>
      </c>
      <c r="O47" s="11"/>
      <c r="P47" s="2">
        <v>1330328</v>
      </c>
      <c r="Q47" s="2"/>
      <c r="R47" s="19">
        <f t="shared" si="9"/>
        <v>0.70846789573114366</v>
      </c>
      <c r="S47" s="2"/>
      <c r="T47" s="2"/>
      <c r="U47" s="2"/>
      <c r="V47" s="19">
        <f t="shared" si="10"/>
        <v>0</v>
      </c>
      <c r="W47" s="2"/>
      <c r="X47" s="2">
        <f t="shared" si="11"/>
        <v>1330328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785.54</v>
      </c>
      <c r="E49" s="2"/>
      <c r="F49" s="19">
        <f t="shared" si="5"/>
        <v>6.7255424894798368E-2</v>
      </c>
      <c r="G49" s="2"/>
      <c r="H49" s="2"/>
      <c r="I49" s="2"/>
      <c r="J49" s="19">
        <f t="shared" si="6"/>
        <v>0</v>
      </c>
      <c r="K49" s="2"/>
      <c r="L49" s="2">
        <f t="shared" si="7"/>
        <v>785.54</v>
      </c>
      <c r="M49" s="2"/>
      <c r="N49" s="19">
        <f t="shared" si="8"/>
        <v>0</v>
      </c>
      <c r="O49" s="11"/>
      <c r="P49" s="2">
        <v>50042.46</v>
      </c>
      <c r="Q49" s="2"/>
      <c r="R49" s="19">
        <f t="shared" si="9"/>
        <v>2.6650176748448447E-2</v>
      </c>
      <c r="S49" s="2"/>
      <c r="T49" s="2"/>
      <c r="U49" s="2"/>
      <c r="V49" s="19">
        <f t="shared" si="10"/>
        <v>0</v>
      </c>
      <c r="W49" s="2"/>
      <c r="X49" s="2">
        <f t="shared" si="11"/>
        <v>50042.46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663.37</v>
      </c>
      <c r="E50" s="2"/>
      <c r="F50" s="19">
        <f t="shared" si="5"/>
        <v>5.6795619844263047E-2</v>
      </c>
      <c r="G50" s="2"/>
      <c r="H50" s="2"/>
      <c r="I50" s="2"/>
      <c r="J50" s="19">
        <f t="shared" si="6"/>
        <v>0</v>
      </c>
      <c r="K50" s="2"/>
      <c r="L50" s="2">
        <f t="shared" si="7"/>
        <v>663.37</v>
      </c>
      <c r="M50" s="2"/>
      <c r="N50" s="19">
        <f t="shared" si="8"/>
        <v>0</v>
      </c>
      <c r="O50" s="11"/>
      <c r="P50" s="2">
        <v>17800.13</v>
      </c>
      <c r="Q50" s="2"/>
      <c r="R50" s="19">
        <f t="shared" si="9"/>
        <v>9.4794822365918789E-3</v>
      </c>
      <c r="S50" s="2"/>
      <c r="T50" s="2"/>
      <c r="U50" s="2"/>
      <c r="V50" s="19">
        <f t="shared" si="10"/>
        <v>0</v>
      </c>
      <c r="W50" s="2"/>
      <c r="X50" s="2">
        <f t="shared" si="11"/>
        <v>17800.13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"5504", " - ", "FREIGHT-IN-DIGITAL TEXT")</f>
        <v xml:space="preserve">          5504 - FREIGHT-IN-DIGITAL TEXT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28.92</v>
      </c>
      <c r="Q51" s="2"/>
      <c r="R51" s="19">
        <f t="shared" si="9"/>
        <v>1.5401383376539225E-5</v>
      </c>
      <c r="S51" s="2"/>
      <c r="T51" s="2"/>
      <c r="U51" s="2"/>
      <c r="V51" s="19">
        <f t="shared" si="10"/>
        <v>0</v>
      </c>
      <c r="W51" s="2"/>
      <c r="X51" s="2">
        <f t="shared" si="11"/>
        <v>28.92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"5513", " - ", "FREIGHT-IN-TRADE BOOKS")</f>
        <v xml:space="preserve">          5513 - FREIGHT-IN-TRADE BOOKS</v>
      </c>
      <c r="C52" s="11"/>
      <c r="D52" s="2">
        <v>51.76</v>
      </c>
      <c r="E52" s="2"/>
      <c r="F52" s="19">
        <f t="shared" si="5"/>
        <v>4.4315258198879288E-3</v>
      </c>
      <c r="G52" s="2"/>
      <c r="H52" s="2"/>
      <c r="I52" s="2"/>
      <c r="J52" s="19">
        <f t="shared" si="6"/>
        <v>0</v>
      </c>
      <c r="K52" s="2"/>
      <c r="L52" s="2">
        <f t="shared" si="7"/>
        <v>51.76</v>
      </c>
      <c r="M52" s="2"/>
      <c r="N52" s="19">
        <f t="shared" si="8"/>
        <v>0</v>
      </c>
      <c r="O52" s="11"/>
      <c r="P52" s="2">
        <v>85.28</v>
      </c>
      <c r="Q52" s="2"/>
      <c r="R52" s="19">
        <f t="shared" si="9"/>
        <v>4.5415974216848724E-5</v>
      </c>
      <c r="S52" s="2"/>
      <c r="T52" s="2"/>
      <c r="U52" s="2"/>
      <c r="V52" s="19">
        <f t="shared" si="10"/>
        <v>0</v>
      </c>
      <c r="W52" s="2"/>
      <c r="X52" s="2">
        <f t="shared" si="11"/>
        <v>85.28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108</v>
      </c>
      <c r="C54" s="29"/>
      <c r="D54" s="20">
        <f>D12-D36</f>
        <v>2759.9499999999789</v>
      </c>
      <c r="E54" s="14"/>
      <c r="F54" s="21">
        <f>IF(D$12=0,0,D54/D$12)</f>
        <v>0.23629810059118228</v>
      </c>
      <c r="G54" s="14"/>
      <c r="H54" s="20">
        <f>H12-H36</f>
        <v>5013</v>
      </c>
      <c r="I54" s="14"/>
      <c r="J54" s="21">
        <f>IF(H$12=0,0,H54/H$12)</f>
        <v>0.26999515269025692</v>
      </c>
      <c r="K54" s="16"/>
      <c r="L54" s="20">
        <f>+D54-H54</f>
        <v>-2253.0500000000211</v>
      </c>
      <c r="M54" s="16"/>
      <c r="N54" s="21">
        <f>IF(H54=0,0,L54/H54)</f>
        <v>-0.44944145222422127</v>
      </c>
      <c r="O54" s="28"/>
      <c r="P54" s="20">
        <f>P12-P36</f>
        <v>547425.39999999944</v>
      </c>
      <c r="Q54" s="14"/>
      <c r="R54" s="21">
        <f>IF(P$12=0,0,P54/P$12)</f>
        <v>0.2915321042688564</v>
      </c>
      <c r="S54" s="14"/>
      <c r="T54" s="20">
        <f>T12-T36</f>
        <v>806628</v>
      </c>
      <c r="U54" s="14"/>
      <c r="V54" s="21">
        <f>IF(T$12=0,0,T54/T$12)</f>
        <v>0.27257797230114594</v>
      </c>
      <c r="W54" s="16"/>
      <c r="X54" s="20">
        <f>+P54-T54</f>
        <v>-259202.60000000056</v>
      </c>
      <c r="Y54" s="16"/>
      <c r="Z54" s="21">
        <f>IF(T54=0,0,X54/T54)</f>
        <v>-0.32134094030953619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295</v>
      </c>
      <c r="C56" s="10"/>
      <c r="D56" s="22">
        <f>SUM(OSRRefD22x_0)</f>
        <v>47009.95</v>
      </c>
      <c r="E56" s="22"/>
      <c r="F56" s="32">
        <f t="shared" ref="F56:F67" si="13">IF(D$12=0,0,D56/D$12)</f>
        <v>4.0248417159320038</v>
      </c>
      <c r="G56" s="22"/>
      <c r="H56" s="22">
        <f>SUM(OSRRefH22x_0)</f>
        <v>45735.565417611528</v>
      </c>
      <c r="I56" s="22"/>
      <c r="J56" s="32">
        <f t="shared" ref="J56:J67" si="14">IF(H$12=0,0,H56/H$12)</f>
        <v>2.4632716872737399</v>
      </c>
      <c r="K56" s="4"/>
      <c r="L56" s="22">
        <f t="shared" ref="L56:L67" si="15">+D56-H56</f>
        <v>1274.3845823884694</v>
      </c>
      <c r="M56" s="4"/>
      <c r="N56" s="32">
        <f t="shared" ref="N56:N67" si="16">IF(H56=0,0,L56/H56)</f>
        <v>2.7864192139138579E-2</v>
      </c>
      <c r="O56" s="10"/>
      <c r="P56" s="22">
        <f>SUM(OSRRefP22x_0)</f>
        <v>409270.19</v>
      </c>
      <c r="Q56" s="22"/>
      <c r="R56" s="32">
        <f t="shared" ref="R56:R67" si="17">IF(P$12=0,0,P56/P$12)</f>
        <v>0.21795736862998097</v>
      </c>
      <c r="S56" s="22"/>
      <c r="T56" s="22">
        <f>SUM(OSRRefT22x_0)</f>
        <v>504876.85674814996</v>
      </c>
      <c r="U56" s="22"/>
      <c r="V56" s="32">
        <f t="shared" ref="V56:V67" si="18">IF(T$12=0,0,T56/T$12)</f>
        <v>0.1706093885585262</v>
      </c>
      <c r="W56" s="4"/>
      <c r="X56" s="22">
        <f t="shared" ref="X56:X67" si="19">+P56-T56</f>
        <v>-95606.666748149961</v>
      </c>
      <c r="Y56" s="4"/>
      <c r="Z56" s="32">
        <f t="shared" ref="Z56:Z67" si="20">IF(T56=0,0,X56/T56)</f>
        <v>-0.18936630877466001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12084.359999999999</v>
      </c>
      <c r="E57" s="1"/>
      <c r="F57" s="5">
        <f t="shared" si="13"/>
        <v>1.0346242920560449</v>
      </c>
      <c r="G57" s="1"/>
      <c r="H57" s="1">
        <f>SUM(OSRRefH22_0x_0)</f>
        <v>11275.000773919228</v>
      </c>
      <c r="I57" s="1"/>
      <c r="J57" s="5">
        <f t="shared" si="14"/>
        <v>0.60726023449772326</v>
      </c>
      <c r="K57" s="1"/>
      <c r="L57" s="1">
        <f t="shared" si="15"/>
        <v>809.3592260807709</v>
      </c>
      <c r="M57" s="1"/>
      <c r="N57" s="5">
        <f t="shared" si="16"/>
        <v>7.1783518450210707E-2</v>
      </c>
      <c r="O57" s="13"/>
      <c r="P57" s="1">
        <f>SUM(OSRRefP22_0x_0)</f>
        <v>105810.70000000001</v>
      </c>
      <c r="Q57" s="1"/>
      <c r="R57" s="5">
        <f t="shared" si="17"/>
        <v>5.6349625035960547E-2</v>
      </c>
      <c r="S57" s="1"/>
      <c r="T57" s="1">
        <f>SUM(OSRRefT22_0x_0)</f>
        <v>112578.96459715001</v>
      </c>
      <c r="U57" s="1"/>
      <c r="V57" s="5">
        <f t="shared" si="18"/>
        <v>3.8042996144013908E-2</v>
      </c>
      <c r="W57" s="1"/>
      <c r="X57" s="1">
        <f t="shared" si="19"/>
        <v>-6768.2645971500024</v>
      </c>
      <c r="Y57" s="1"/>
      <c r="Z57" s="5">
        <f t="shared" si="20"/>
        <v>-6.0120153186427015E-2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1910.57</v>
      </c>
      <c r="E58" s="2"/>
      <c r="F58" s="6">
        <f t="shared" si="13"/>
        <v>0.16357689887371096</v>
      </c>
      <c r="G58" s="2"/>
      <c r="H58" s="7">
        <v>1568.3171629384599</v>
      </c>
      <c r="I58" s="2"/>
      <c r="J58" s="6">
        <f t="shared" si="14"/>
        <v>8.4467989601899066E-2</v>
      </c>
      <c r="K58" s="2"/>
      <c r="L58" s="7">
        <f t="shared" si="15"/>
        <v>342.25283706154005</v>
      </c>
      <c r="M58" s="2"/>
      <c r="N58" s="6">
        <f t="shared" si="16"/>
        <v>0.21822935127502008</v>
      </c>
      <c r="O58" s="11"/>
      <c r="P58" s="7">
        <v>18911.77</v>
      </c>
      <c r="Q58" s="2"/>
      <c r="R58" s="6">
        <f t="shared" si="17"/>
        <v>1.0071487555288148E-2</v>
      </c>
      <c r="S58" s="2"/>
      <c r="T58" s="7">
        <v>17475.324545775002</v>
      </c>
      <c r="U58" s="2"/>
      <c r="V58" s="6">
        <f t="shared" si="18"/>
        <v>5.905310167749935E-3</v>
      </c>
      <c r="W58" s="2"/>
      <c r="X58" s="7">
        <f t="shared" si="19"/>
        <v>1436.4454542249987</v>
      </c>
      <c r="Y58" s="2"/>
      <c r="Z58" s="6">
        <f t="shared" si="20"/>
        <v>8.2198499401963165E-2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103.76</v>
      </c>
      <c r="E59" s="2"/>
      <c r="F59" s="6">
        <f t="shared" si="13"/>
        <v>8.8835996729438073E-3</v>
      </c>
      <c r="G59" s="2"/>
      <c r="H59" s="7">
        <v>489.23997471153803</v>
      </c>
      <c r="I59" s="2"/>
      <c r="J59" s="6">
        <f t="shared" si="14"/>
        <v>2.6349974401440084E-2</v>
      </c>
      <c r="K59" s="2"/>
      <c r="L59" s="7">
        <f t="shared" si="15"/>
        <v>-385.47997471153803</v>
      </c>
      <c r="M59" s="2"/>
      <c r="N59" s="6">
        <f t="shared" si="16"/>
        <v>-0.7879159403088879</v>
      </c>
      <c r="O59" s="11"/>
      <c r="P59" s="7">
        <v>1047.72</v>
      </c>
      <c r="Q59" s="2"/>
      <c r="R59" s="6">
        <f t="shared" si="17"/>
        <v>5.5796464008532772E-4</v>
      </c>
      <c r="S59" s="2"/>
      <c r="T59" s="7">
        <v>6074.222035625</v>
      </c>
      <c r="U59" s="2"/>
      <c r="V59" s="6">
        <f t="shared" si="18"/>
        <v>2.0526179673624047E-3</v>
      </c>
      <c r="W59" s="2"/>
      <c r="X59" s="7">
        <f t="shared" si="19"/>
        <v>-5026.5020356249997</v>
      </c>
      <c r="Y59" s="2"/>
      <c r="Z59" s="6">
        <f t="shared" si="20"/>
        <v>-0.82751371387888417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4943.91</v>
      </c>
      <c r="E60" s="2"/>
      <c r="F60" s="6">
        <f t="shared" si="13"/>
        <v>0.42328177774733633</v>
      </c>
      <c r="G60" s="2"/>
      <c r="H60" s="7">
        <v>4662.6923076923104</v>
      </c>
      <c r="I60" s="2"/>
      <c r="J60" s="6">
        <f t="shared" si="14"/>
        <v>0.25112793169021974</v>
      </c>
      <c r="K60" s="2"/>
      <c r="L60" s="7">
        <f t="shared" si="15"/>
        <v>281.2176923076895</v>
      </c>
      <c r="M60" s="2"/>
      <c r="N60" s="6">
        <f t="shared" si="16"/>
        <v>6.0312298935906318E-2</v>
      </c>
      <c r="O60" s="11"/>
      <c r="P60" s="7">
        <v>40219.949999999997</v>
      </c>
      <c r="Q60" s="2"/>
      <c r="R60" s="6">
        <f t="shared" si="17"/>
        <v>2.1419186353224023E-2</v>
      </c>
      <c r="S60" s="2"/>
      <c r="T60" s="7">
        <v>42885</v>
      </c>
      <c r="U60" s="2"/>
      <c r="V60" s="6">
        <f t="shared" si="18"/>
        <v>1.4491818213767244E-2</v>
      </c>
      <c r="W60" s="2"/>
      <c r="X60" s="7">
        <f t="shared" si="19"/>
        <v>-2665.0500000000029</v>
      </c>
      <c r="Y60" s="2"/>
      <c r="Z60" s="6">
        <f t="shared" si="20"/>
        <v>-6.2144106330884991E-2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70.17</v>
      </c>
      <c r="E61" s="2"/>
      <c r="F61" s="6">
        <f t="shared" si="13"/>
        <v>6.007731197479443E-3</v>
      </c>
      <c r="G61" s="2"/>
      <c r="H61" s="7">
        <v>68.758050499999996</v>
      </c>
      <c r="I61" s="2"/>
      <c r="J61" s="6">
        <f t="shared" si="14"/>
        <v>3.7032396456077987E-3</v>
      </c>
      <c r="K61" s="2"/>
      <c r="L61" s="7">
        <f t="shared" si="15"/>
        <v>1.4119495000000057</v>
      </c>
      <c r="M61" s="2"/>
      <c r="N61" s="6">
        <f t="shared" si="16"/>
        <v>2.0535042656568716E-2</v>
      </c>
      <c r="O61" s="11"/>
      <c r="P61" s="7">
        <v>670.86</v>
      </c>
      <c r="Q61" s="2"/>
      <c r="R61" s="6">
        <f t="shared" si="17"/>
        <v>3.5726736002714745E-4</v>
      </c>
      <c r="S61" s="2"/>
      <c r="T61" s="7">
        <v>853.67444824999995</v>
      </c>
      <c r="U61" s="2"/>
      <c r="V61" s="6">
        <f t="shared" si="18"/>
        <v>2.8847603865633792E-4</v>
      </c>
      <c r="W61" s="2"/>
      <c r="X61" s="7">
        <f t="shared" si="19"/>
        <v>-182.81444824999994</v>
      </c>
      <c r="Y61" s="2"/>
      <c r="Z61" s="6">
        <f t="shared" si="20"/>
        <v>-0.21415007632565622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1783.22</v>
      </c>
      <c r="E62" s="2"/>
      <c r="F62" s="6">
        <f t="shared" si="13"/>
        <v>0.15267359877396738</v>
      </c>
      <c r="G62" s="2"/>
      <c r="H62" s="7">
        <v>1268.5379723076901</v>
      </c>
      <c r="I62" s="2"/>
      <c r="J62" s="6">
        <f t="shared" si="14"/>
        <v>6.8322183029444178E-2</v>
      </c>
      <c r="K62" s="2"/>
      <c r="L62" s="7">
        <f t="shared" si="15"/>
        <v>514.68202769230993</v>
      </c>
      <c r="M62" s="2"/>
      <c r="N62" s="6">
        <f t="shared" si="16"/>
        <v>0.40572851497382789</v>
      </c>
      <c r="O62" s="11"/>
      <c r="P62" s="7">
        <v>16741.73</v>
      </c>
      <c r="Q62" s="2"/>
      <c r="R62" s="6">
        <f t="shared" si="17"/>
        <v>8.9158299487035967E-3</v>
      </c>
      <c r="S62" s="2"/>
      <c r="T62" s="7">
        <v>12368.24523</v>
      </c>
      <c r="U62" s="2"/>
      <c r="V62" s="6">
        <f t="shared" si="18"/>
        <v>4.1795117522782756E-3</v>
      </c>
      <c r="W62" s="2"/>
      <c r="X62" s="7">
        <f t="shared" si="19"/>
        <v>4373.4847699999991</v>
      </c>
      <c r="Y62" s="2"/>
      <c r="Z62" s="6">
        <f t="shared" si="20"/>
        <v>0.35360592296406135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7">
        <v>368.6</v>
      </c>
      <c r="E64" s="2"/>
      <c r="F64" s="6">
        <f t="shared" si="13"/>
        <v>3.1558354273776866E-2</v>
      </c>
      <c r="G64" s="2"/>
      <c r="H64" s="7"/>
      <c r="I64" s="2"/>
      <c r="J64" s="6">
        <f t="shared" si="14"/>
        <v>0</v>
      </c>
      <c r="K64" s="2"/>
      <c r="L64" s="7">
        <f t="shared" si="15"/>
        <v>368.6</v>
      </c>
      <c r="M64" s="2"/>
      <c r="N64" s="6">
        <f t="shared" si="16"/>
        <v>0</v>
      </c>
      <c r="O64" s="11"/>
      <c r="P64" s="7">
        <v>2509.58</v>
      </c>
      <c r="Q64" s="2"/>
      <c r="R64" s="6">
        <f t="shared" si="17"/>
        <v>1.3364800724099345E-3</v>
      </c>
      <c r="S64" s="2"/>
      <c r="T64" s="7"/>
      <c r="U64" s="2"/>
      <c r="V64" s="6">
        <f t="shared" si="18"/>
        <v>0</v>
      </c>
      <c r="W64" s="2"/>
      <c r="X64" s="7">
        <f t="shared" si="19"/>
        <v>2509.58</v>
      </c>
      <c r="Y64" s="2"/>
      <c r="Z64" s="6">
        <f t="shared" si="20"/>
        <v>0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7">
        <v>1345.02</v>
      </c>
      <c r="E65" s="2"/>
      <c r="F65" s="6">
        <f t="shared" si="13"/>
        <v>0.11515631488148496</v>
      </c>
      <c r="G65" s="2"/>
      <c r="H65" s="7">
        <v>1346.2077200000001</v>
      </c>
      <c r="I65" s="2"/>
      <c r="J65" s="6">
        <f t="shared" si="14"/>
        <v>7.2505397748693926E-2</v>
      </c>
      <c r="K65" s="2"/>
      <c r="L65" s="7">
        <f t="shared" si="15"/>
        <v>-1.1877200000001267</v>
      </c>
      <c r="M65" s="2"/>
      <c r="N65" s="6">
        <f t="shared" si="16"/>
        <v>-8.8227097672573631E-4</v>
      </c>
      <c r="O65" s="11"/>
      <c r="P65" s="7">
        <v>12034.68</v>
      </c>
      <c r="Q65" s="2"/>
      <c r="R65" s="6">
        <f t="shared" si="17"/>
        <v>6.4090843877582671E-3</v>
      </c>
      <c r="S65" s="2"/>
      <c r="T65" s="7">
        <v>13125.52527</v>
      </c>
      <c r="U65" s="2"/>
      <c r="V65" s="6">
        <f t="shared" si="18"/>
        <v>4.4354139249865509E-3</v>
      </c>
      <c r="W65" s="2"/>
      <c r="X65" s="7">
        <f t="shared" si="19"/>
        <v>-1090.8452699999998</v>
      </c>
      <c r="Y65" s="2"/>
      <c r="Z65" s="6">
        <f t="shared" si="20"/>
        <v>-8.3108694513983422E-2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7">
        <v>1147.56</v>
      </c>
      <c r="E66" s="2"/>
      <c r="F66" s="6">
        <f t="shared" si="13"/>
        <v>9.8250420592553928E-2</v>
      </c>
      <c r="G66" s="2"/>
      <c r="H66" s="7">
        <v>1121.24758576923</v>
      </c>
      <c r="I66" s="2"/>
      <c r="J66" s="6">
        <f t="shared" si="14"/>
        <v>6.0389270521313619E-2</v>
      </c>
      <c r="K66" s="2"/>
      <c r="L66" s="7">
        <f t="shared" si="15"/>
        <v>26.312414230769946</v>
      </c>
      <c r="M66" s="2"/>
      <c r="N66" s="6">
        <f t="shared" si="16"/>
        <v>2.346708663164555E-2</v>
      </c>
      <c r="O66" s="11"/>
      <c r="P66" s="7">
        <v>9887.02</v>
      </c>
      <c r="Q66" s="2"/>
      <c r="R66" s="6">
        <f t="shared" si="17"/>
        <v>5.2653452790978857E-3</v>
      </c>
      <c r="S66" s="2"/>
      <c r="T66" s="7">
        <v>13046.973067499999</v>
      </c>
      <c r="U66" s="2"/>
      <c r="V66" s="6">
        <f t="shared" si="18"/>
        <v>4.4088693467209325E-3</v>
      </c>
      <c r="W66" s="2"/>
      <c r="X66" s="7">
        <f t="shared" si="19"/>
        <v>-3159.9530674999987</v>
      </c>
      <c r="Y66" s="2"/>
      <c r="Z66" s="6">
        <f t="shared" si="20"/>
        <v>-0.2421981750979037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7">
        <v>411.55</v>
      </c>
      <c r="E67" s="2"/>
      <c r="F67" s="6">
        <f t="shared" si="13"/>
        <v>3.5235596042791285E-2</v>
      </c>
      <c r="G67" s="2"/>
      <c r="H67" s="7">
        <v>750</v>
      </c>
      <c r="I67" s="2"/>
      <c r="J67" s="6">
        <f t="shared" si="14"/>
        <v>4.0394247859104865E-2</v>
      </c>
      <c r="K67" s="2"/>
      <c r="L67" s="7">
        <f t="shared" si="15"/>
        <v>-338.45</v>
      </c>
      <c r="M67" s="2"/>
      <c r="N67" s="6">
        <f t="shared" si="16"/>
        <v>-0.45126666666666665</v>
      </c>
      <c r="O67" s="11"/>
      <c r="P67" s="7">
        <v>3787.39</v>
      </c>
      <c r="Q67" s="2"/>
      <c r="R67" s="6">
        <f t="shared" si="17"/>
        <v>2.0169794393662135E-3</v>
      </c>
      <c r="S67" s="2"/>
      <c r="T67" s="7">
        <v>6750</v>
      </c>
      <c r="U67" s="2"/>
      <c r="V67" s="6">
        <f t="shared" si="18"/>
        <v>2.2809787324922209E-3</v>
      </c>
      <c r="W67" s="2"/>
      <c r="X67" s="7">
        <f t="shared" si="19"/>
        <v>-2962.61</v>
      </c>
      <c r="Y67" s="2"/>
      <c r="Z67" s="6">
        <f t="shared" si="20"/>
        <v>-0.43890518518518523</v>
      </c>
    </row>
    <row r="68" spans="1:26" s="25" customFormat="1" outlineLevel="1" collapsed="1" x14ac:dyDescent="0.25">
      <c r="A68" s="27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25735.149999999998</v>
      </c>
      <c r="E68" s="1"/>
      <c r="F68" s="5">
        <f t="shared" ref="F68:F78" si="21">IF(D$12=0,0,D68/D$12)</f>
        <v>2.2033613157590577</v>
      </c>
      <c r="G68" s="1"/>
      <c r="H68" s="1">
        <f>SUM(OSRRefH22_1x_0)</f>
        <v>24345.564643692298</v>
      </c>
      <c r="I68" s="1"/>
      <c r="J68" s="5">
        <f t="shared" ref="J68:J78" si="22">IF(H$12=0,0,H68/H$12)</f>
        <v>1.3112276966495555</v>
      </c>
      <c r="K68" s="1"/>
      <c r="L68" s="1">
        <f t="shared" ref="L68:L78" si="23">+D68-H68</f>
        <v>1389.5853563076998</v>
      </c>
      <c r="M68" s="1"/>
      <c r="N68" s="5">
        <f t="shared" ref="N68:N78" si="24">IF(H68=0,0,L68/H68)</f>
        <v>5.7077557109267048E-2</v>
      </c>
      <c r="O68" s="13"/>
      <c r="P68" s="1">
        <f>SUM(OSRRefP22_1x_0)</f>
        <v>253133.52000000002</v>
      </c>
      <c r="Q68" s="1"/>
      <c r="R68" s="5">
        <f t="shared" ref="R68:R78" si="25">IF(P$12=0,0,P68/P$12)</f>
        <v>0.13480658322866043</v>
      </c>
      <c r="S68" s="1"/>
      <c r="T68" s="1">
        <f>SUM(OSRRefT22_1x_0)</f>
        <v>307862.89215099998</v>
      </c>
      <c r="U68" s="1"/>
      <c r="V68" s="5">
        <f t="shared" ref="V68:V78" si="26">IF(T$12=0,0,T68/T$12)</f>
        <v>0.10403388289184848</v>
      </c>
      <c r="W68" s="1"/>
      <c r="X68" s="1">
        <f t="shared" ref="X68:X78" si="27">+P68-T68</f>
        <v>-54729.37215099996</v>
      </c>
      <c r="Y68" s="1"/>
      <c r="Z68" s="5">
        <f t="shared" ref="Z68:Z78" si="28">IF(T68=0,0,X68/T68)</f>
        <v>-0.17777190283834665</v>
      </c>
    </row>
    <row r="69" spans="1:26" s="24" customFormat="1" hidden="1" outlineLevel="2" x14ac:dyDescent="0.25">
      <c r="A69" s="26"/>
      <c r="B69" s="11" t="str">
        <f>CONCATENATE("          ", "6001", " - ", "ADMINISTRATIVE SALARIES")</f>
        <v xml:space="preserve">          6001 - ADMINISTRATIVE SALARIES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>
        <v>-311.32</v>
      </c>
      <c r="Q69" s="2"/>
      <c r="R69" s="6">
        <f t="shared" si="25"/>
        <v>-1.6579386835353357E-4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-311.32</v>
      </c>
      <c r="Y69" s="2"/>
      <c r="Z69" s="6">
        <f t="shared" si="28"/>
        <v>0</v>
      </c>
    </row>
    <row r="70" spans="1:26" s="24" customFormat="1" hidden="1" outlineLevel="2" x14ac:dyDescent="0.25">
      <c r="A70" s="26"/>
      <c r="B70" s="11" t="str">
        <f>CONCATENATE("          ", "6002", " - ", "STAFF SALARIES")</f>
        <v xml:space="preserve">          6002 - STAFF SALARIES</v>
      </c>
      <c r="C70" s="11"/>
      <c r="D70" s="7">
        <v>16589.439999999999</v>
      </c>
      <c r="E70" s="2"/>
      <c r="F70" s="6">
        <f t="shared" si="21"/>
        <v>1.4203348473238329</v>
      </c>
      <c r="G70" s="2"/>
      <c r="H70" s="7">
        <v>13107.2520636923</v>
      </c>
      <c r="I70" s="2"/>
      <c r="J70" s="6">
        <f t="shared" si="22"/>
        <v>0.70594345148340065</v>
      </c>
      <c r="K70" s="2"/>
      <c r="L70" s="7">
        <f t="shared" si="23"/>
        <v>3482.1879363076987</v>
      </c>
      <c r="M70" s="2"/>
      <c r="N70" s="6">
        <f t="shared" si="24"/>
        <v>0.26566880070564308</v>
      </c>
      <c r="O70" s="11"/>
      <c r="P70" s="7">
        <v>154715.68</v>
      </c>
      <c r="Q70" s="2"/>
      <c r="R70" s="6">
        <f t="shared" si="25"/>
        <v>8.2394035340316807E-2</v>
      </c>
      <c r="S70" s="2"/>
      <c r="T70" s="7">
        <v>127795.70762099999</v>
      </c>
      <c r="U70" s="2"/>
      <c r="V70" s="6">
        <f t="shared" si="26"/>
        <v>4.3185080175895563E-2</v>
      </c>
      <c r="W70" s="2"/>
      <c r="X70" s="7">
        <f t="shared" si="27"/>
        <v>26919.972378999999</v>
      </c>
      <c r="Y70" s="2"/>
      <c r="Z70" s="6">
        <f t="shared" si="28"/>
        <v>0.21064848640171685</v>
      </c>
    </row>
    <row r="71" spans="1:26" s="24" customFormat="1" hidden="1" outlineLevel="2" x14ac:dyDescent="0.25">
      <c r="A71" s="26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/>
      <c r="Q71" s="2"/>
      <c r="R71" s="6">
        <f t="shared" si="25"/>
        <v>0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0</v>
      </c>
      <c r="Y71" s="2"/>
      <c r="Z71" s="6">
        <f t="shared" si="28"/>
        <v>0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7">
        <v>5806.54</v>
      </c>
      <c r="E72" s="2"/>
      <c r="F72" s="6">
        <f t="shared" si="21"/>
        <v>0.49713740212929008</v>
      </c>
      <c r="G72" s="2"/>
      <c r="H72" s="7">
        <v>5285.7500799999998</v>
      </c>
      <c r="I72" s="2"/>
      <c r="J72" s="6">
        <f t="shared" si="22"/>
        <v>0.28468519847040447</v>
      </c>
      <c r="K72" s="2"/>
      <c r="L72" s="7">
        <f t="shared" si="23"/>
        <v>520.78992000000017</v>
      </c>
      <c r="M72" s="2"/>
      <c r="N72" s="6">
        <f t="shared" si="24"/>
        <v>9.8527155487457357E-2</v>
      </c>
      <c r="O72" s="11"/>
      <c r="P72" s="7">
        <v>59739.26</v>
      </c>
      <c r="Q72" s="2"/>
      <c r="R72" s="6">
        <f t="shared" si="25"/>
        <v>3.1814220120703826E-2</v>
      </c>
      <c r="S72" s="2"/>
      <c r="T72" s="7">
        <v>51536.063280000002</v>
      </c>
      <c r="U72" s="2"/>
      <c r="V72" s="6">
        <f t="shared" si="26"/>
        <v>1.7415209525637527E-2</v>
      </c>
      <c r="W72" s="2"/>
      <c r="X72" s="7">
        <f t="shared" si="27"/>
        <v>8203.1967199999999</v>
      </c>
      <c r="Y72" s="2"/>
      <c r="Z72" s="6">
        <f t="shared" si="28"/>
        <v>0.15917391042135492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7">
        <v>478.89</v>
      </c>
      <c r="E73" s="2"/>
      <c r="F73" s="6">
        <f t="shared" si="21"/>
        <v>4.1001031682498648E-2</v>
      </c>
      <c r="G73" s="2"/>
      <c r="H73" s="7">
        <v>2964</v>
      </c>
      <c r="I73" s="2"/>
      <c r="J73" s="6">
        <f t="shared" si="22"/>
        <v>0.15963806753918242</v>
      </c>
      <c r="K73" s="2"/>
      <c r="L73" s="7">
        <f t="shared" si="23"/>
        <v>-2485.11</v>
      </c>
      <c r="M73" s="2"/>
      <c r="N73" s="6">
        <f t="shared" si="24"/>
        <v>-0.83843117408906886</v>
      </c>
      <c r="O73" s="11"/>
      <c r="P73" s="7">
        <v>13316.89</v>
      </c>
      <c r="Q73" s="2"/>
      <c r="R73" s="6">
        <f t="shared" si="25"/>
        <v>7.0919269804011554E-3</v>
      </c>
      <c r="S73" s="2"/>
      <c r="T73" s="7">
        <v>31915.439999999999</v>
      </c>
      <c r="U73" s="2"/>
      <c r="V73" s="6">
        <f t="shared" si="26"/>
        <v>1.0784954056019485E-2</v>
      </c>
      <c r="W73" s="2"/>
      <c r="X73" s="7">
        <f t="shared" si="27"/>
        <v>-18598.55</v>
      </c>
      <c r="Y73" s="2"/>
      <c r="Z73" s="6">
        <f t="shared" si="28"/>
        <v>-0.58274459007928447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>
        <v>502.29</v>
      </c>
      <c r="Q74" s="2"/>
      <c r="R74" s="6">
        <f t="shared" si="25"/>
        <v>2.6749518866534878E-4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502.29</v>
      </c>
      <c r="Y74" s="2"/>
      <c r="Z74" s="6">
        <f t="shared" si="28"/>
        <v>0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7">
        <v>2860.28</v>
      </c>
      <c r="E75" s="2"/>
      <c r="F75" s="6">
        <f t="shared" si="21"/>
        <v>0.24488803462343597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2860.28</v>
      </c>
      <c r="M75" s="2"/>
      <c r="N75" s="6">
        <f t="shared" si="24"/>
        <v>0</v>
      </c>
      <c r="O75" s="11"/>
      <c r="P75" s="7">
        <v>24203.46</v>
      </c>
      <c r="Q75" s="2"/>
      <c r="R75" s="6">
        <f t="shared" si="25"/>
        <v>1.2889583903828909E-2</v>
      </c>
      <c r="S75" s="2"/>
      <c r="T75" s="7">
        <v>28540.862499999999</v>
      </c>
      <c r="U75" s="2"/>
      <c r="V75" s="6">
        <f t="shared" si="26"/>
        <v>9.6446074621458905E-3</v>
      </c>
      <c r="W75" s="2"/>
      <c r="X75" s="7">
        <f t="shared" si="27"/>
        <v>-4337.4025000000001</v>
      </c>
      <c r="Y75" s="2"/>
      <c r="Z75" s="6">
        <f t="shared" si="28"/>
        <v>-0.1519716686908113</v>
      </c>
    </row>
    <row r="76" spans="1:26" s="24" customFormat="1" hidden="1" outlineLevel="2" x14ac:dyDescent="0.25">
      <c r="A76" s="26"/>
      <c r="B76" s="11" t="str">
        <f>CONCATENATE("          ", "6008", " - ", "STUDENT HOURLY-FICA EXEMPT")</f>
        <v xml:space="preserve">          6008 - STUDENT HOURLY-FICA EXEMPT</v>
      </c>
      <c r="C76" s="11"/>
      <c r="D76" s="7"/>
      <c r="E76" s="2"/>
      <c r="F76" s="6">
        <f t="shared" si="21"/>
        <v>0</v>
      </c>
      <c r="G76" s="2"/>
      <c r="H76" s="7">
        <v>2988.5625</v>
      </c>
      <c r="I76" s="2"/>
      <c r="J76" s="6">
        <f t="shared" si="22"/>
        <v>0.1609609791565681</v>
      </c>
      <c r="K76" s="2"/>
      <c r="L76" s="7">
        <f t="shared" si="23"/>
        <v>-2988.5625</v>
      </c>
      <c r="M76" s="2"/>
      <c r="N76" s="6">
        <f t="shared" si="24"/>
        <v>-1</v>
      </c>
      <c r="O76" s="11"/>
      <c r="P76" s="7">
        <v>967.26</v>
      </c>
      <c r="Q76" s="2"/>
      <c r="R76" s="6">
        <f t="shared" si="25"/>
        <v>5.1511556309790209E-4</v>
      </c>
      <c r="S76" s="2"/>
      <c r="T76" s="7">
        <v>68074.818750000006</v>
      </c>
      <c r="U76" s="2"/>
      <c r="V76" s="6">
        <f t="shared" si="26"/>
        <v>2.3004031672150028E-2</v>
      </c>
      <c r="W76" s="2"/>
      <c r="X76" s="7">
        <f t="shared" si="27"/>
        <v>-67107.558750000011</v>
      </c>
      <c r="Y76" s="2"/>
      <c r="Z76" s="6">
        <f t="shared" si="28"/>
        <v>-0.98579122180916579</v>
      </c>
    </row>
    <row r="77" spans="1:26" s="24" customFormat="1" hidden="1" outlineLevel="2" x14ac:dyDescent="0.25">
      <c r="A77" s="26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4" customFormat="1" hidden="1" outlineLevel="2" x14ac:dyDescent="0.25">
      <c r="A78" s="26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5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30.83</v>
      </c>
      <c r="E79" s="1"/>
      <c r="F79" s="5">
        <f t="shared" ref="F79:F83" si="29">IF(D$12=0,0,D79/D$12)</f>
        <v>2.6395660940329371E-3</v>
      </c>
      <c r="G79" s="1"/>
      <c r="H79" s="1">
        <f>SUM(OSRRefH22_2x_0)</f>
        <v>100</v>
      </c>
      <c r="I79" s="1"/>
      <c r="J79" s="5">
        <f t="shared" ref="J79:J83" si="30">IF(H$12=0,0,H79/H$12)</f>
        <v>5.385899714547315E-3</v>
      </c>
      <c r="K79" s="1"/>
      <c r="L79" s="1">
        <f t="shared" ref="L79:L83" si="31">+D79-H79</f>
        <v>-69.17</v>
      </c>
      <c r="M79" s="1"/>
      <c r="N79" s="5">
        <f t="shared" ref="N79:N83" si="32">IF(H79=0,0,L79/H79)</f>
        <v>-0.69169999999999998</v>
      </c>
      <c r="O79" s="13"/>
      <c r="P79" s="1">
        <f>SUM(OSRRefP22_2x_0)</f>
        <v>2030.38</v>
      </c>
      <c r="Q79" s="1"/>
      <c r="R79" s="5">
        <f t="shared" ref="R79:R83" si="33">IF(P$12=0,0,P79/P$12)</f>
        <v>1.0812814930863664E-3</v>
      </c>
      <c r="S79" s="1"/>
      <c r="T79" s="1">
        <f>SUM(OSRRefT22_2x_0)</f>
        <v>2300</v>
      </c>
      <c r="U79" s="1"/>
      <c r="V79" s="5">
        <f t="shared" ref="V79:V83" si="34">IF(T$12=0,0,T79/T$12)</f>
        <v>7.7722238292327528E-4</v>
      </c>
      <c r="W79" s="1"/>
      <c r="X79" s="1">
        <f t="shared" ref="X79:X83" si="35">+P79-T79</f>
        <v>-269.61999999999989</v>
      </c>
      <c r="Y79" s="1"/>
      <c r="Z79" s="5">
        <f t="shared" ref="Z79:Z83" si="36">IF(T79=0,0,X79/T79)</f>
        <v>-0.11722608695652169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7">
        <v>30.83</v>
      </c>
      <c r="E80" s="2"/>
      <c r="F80" s="6">
        <f t="shared" si="29"/>
        <v>2.6395660940329371E-3</v>
      </c>
      <c r="G80" s="2"/>
      <c r="H80" s="7">
        <v>100</v>
      </c>
      <c r="I80" s="2"/>
      <c r="J80" s="6">
        <f t="shared" si="30"/>
        <v>5.385899714547315E-3</v>
      </c>
      <c r="K80" s="2"/>
      <c r="L80" s="7">
        <f t="shared" si="31"/>
        <v>-69.17</v>
      </c>
      <c r="M80" s="2"/>
      <c r="N80" s="6">
        <f t="shared" si="32"/>
        <v>-0.69169999999999998</v>
      </c>
      <c r="O80" s="11"/>
      <c r="P80" s="7">
        <v>2030.38</v>
      </c>
      <c r="Q80" s="2"/>
      <c r="R80" s="6">
        <f t="shared" si="33"/>
        <v>1.0812814930863664E-3</v>
      </c>
      <c r="S80" s="2"/>
      <c r="T80" s="7">
        <v>2300</v>
      </c>
      <c r="U80" s="2"/>
      <c r="V80" s="6">
        <f t="shared" si="34"/>
        <v>7.7722238292327528E-4</v>
      </c>
      <c r="W80" s="2"/>
      <c r="X80" s="7">
        <f t="shared" si="35"/>
        <v>-269.61999999999989</v>
      </c>
      <c r="Y80" s="2"/>
      <c r="Z80" s="6">
        <f t="shared" si="36"/>
        <v>-0.11722608695652169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29"/>
        <v>0</v>
      </c>
      <c r="G81" s="1"/>
      <c r="H81" s="1">
        <f>SUM(OSRRefH22_3x_0)</f>
        <v>1700</v>
      </c>
      <c r="I81" s="1"/>
      <c r="J81" s="5">
        <f t="shared" si="30"/>
        <v>9.1560295147304363E-2</v>
      </c>
      <c r="K81" s="1"/>
      <c r="L81" s="1">
        <f t="shared" si="31"/>
        <v>-1700</v>
      </c>
      <c r="M81" s="1"/>
      <c r="N81" s="5">
        <f t="shared" si="32"/>
        <v>-1</v>
      </c>
      <c r="O81" s="13"/>
      <c r="P81" s="1">
        <f>SUM(OSRRefP22_3x_0)</f>
        <v>0</v>
      </c>
      <c r="Q81" s="1"/>
      <c r="R81" s="5">
        <f t="shared" si="33"/>
        <v>0</v>
      </c>
      <c r="S81" s="1"/>
      <c r="T81" s="1">
        <f>SUM(OSRRefT22_3x_0)</f>
        <v>16400</v>
      </c>
      <c r="U81" s="1"/>
      <c r="V81" s="5">
        <f t="shared" si="34"/>
        <v>5.5419335130181373E-3</v>
      </c>
      <c r="W81" s="1"/>
      <c r="X81" s="1">
        <f t="shared" si="35"/>
        <v>-16400</v>
      </c>
      <c r="Y81" s="1"/>
      <c r="Z81" s="5">
        <f t="shared" si="36"/>
        <v>-1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0</v>
      </c>
      <c r="E82" s="2"/>
      <c r="F82" s="6">
        <f t="shared" si="29"/>
        <v>0</v>
      </c>
      <c r="G82" s="2"/>
      <c r="H82" s="7">
        <v>1700</v>
      </c>
      <c r="I82" s="2"/>
      <c r="J82" s="6">
        <f t="shared" si="30"/>
        <v>9.1560295147304363E-2</v>
      </c>
      <c r="K82" s="2"/>
      <c r="L82" s="7">
        <f t="shared" si="31"/>
        <v>-1700</v>
      </c>
      <c r="M82" s="2"/>
      <c r="N82" s="6">
        <f t="shared" si="32"/>
        <v>-1</v>
      </c>
      <c r="O82" s="11"/>
      <c r="P82" s="7">
        <v>0</v>
      </c>
      <c r="Q82" s="2"/>
      <c r="R82" s="6">
        <f t="shared" si="33"/>
        <v>0</v>
      </c>
      <c r="S82" s="2"/>
      <c r="T82" s="7">
        <v>16400</v>
      </c>
      <c r="U82" s="2"/>
      <c r="V82" s="6">
        <f t="shared" si="34"/>
        <v>5.5419335130181373E-3</v>
      </c>
      <c r="W82" s="2"/>
      <c r="X82" s="7">
        <f t="shared" si="35"/>
        <v>-16400</v>
      </c>
      <c r="Y82" s="2"/>
      <c r="Z82" s="6">
        <f t="shared" si="36"/>
        <v>-1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29"/>
        <v>0</v>
      </c>
      <c r="G83" s="2"/>
      <c r="H83" s="7"/>
      <c r="I83" s="2"/>
      <c r="J83" s="6">
        <f t="shared" si="30"/>
        <v>0</v>
      </c>
      <c r="K83" s="2"/>
      <c r="L83" s="7">
        <f t="shared" si="31"/>
        <v>0</v>
      </c>
      <c r="M83" s="2"/>
      <c r="N83" s="6">
        <f t="shared" si="32"/>
        <v>0</v>
      </c>
      <c r="O83" s="11"/>
      <c r="P83" s="7">
        <v>0</v>
      </c>
      <c r="Q83" s="2"/>
      <c r="R83" s="6">
        <f t="shared" si="33"/>
        <v>0</v>
      </c>
      <c r="S83" s="2"/>
      <c r="T83" s="7"/>
      <c r="U83" s="2"/>
      <c r="V83" s="6">
        <f t="shared" si="34"/>
        <v>0</v>
      </c>
      <c r="W83" s="2"/>
      <c r="X83" s="7">
        <f t="shared" si="35"/>
        <v>0</v>
      </c>
      <c r="Y83" s="2"/>
      <c r="Z83" s="6">
        <f t="shared" si="36"/>
        <v>0</v>
      </c>
    </row>
    <row r="84" spans="1:26" s="25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7">IF(D$12=0,0,D84/D$12)</f>
        <v>0</v>
      </c>
      <c r="G84" s="1"/>
      <c r="H84" s="1">
        <f>SUM(OSRRefH22_4x_0)</f>
        <v>75</v>
      </c>
      <c r="I84" s="1"/>
      <c r="J84" s="5">
        <f t="shared" ref="J84:J90" si="38">IF(H$12=0,0,H84/H$12)</f>
        <v>4.0394247859104867E-3</v>
      </c>
      <c r="K84" s="1"/>
      <c r="L84" s="1">
        <f t="shared" ref="L84:L90" si="39">+D84-H84</f>
        <v>-75</v>
      </c>
      <c r="M84" s="1"/>
      <c r="N84" s="5">
        <f t="shared" ref="N84:N90" si="40">IF(H84=0,0,L84/H84)</f>
        <v>-1</v>
      </c>
      <c r="O84" s="13"/>
      <c r="P84" s="1">
        <f>SUM(OSRRefP22_4x_0)</f>
        <v>107.7</v>
      </c>
      <c r="Q84" s="1"/>
      <c r="R84" s="5">
        <f t="shared" ref="R84:R90" si="41">IF(P$12=0,0,P84/P$12)</f>
        <v>5.73557741927135E-5</v>
      </c>
      <c r="S84" s="1"/>
      <c r="T84" s="1">
        <f>SUM(OSRRefT22_4x_0)</f>
        <v>675</v>
      </c>
      <c r="U84" s="1"/>
      <c r="V84" s="5">
        <f t="shared" ref="V84:V90" si="42">IF(T$12=0,0,T84/T$12)</f>
        <v>2.2809787324922211E-4</v>
      </c>
      <c r="W84" s="1"/>
      <c r="X84" s="1">
        <f t="shared" ref="X84:X90" si="43">+P84-T84</f>
        <v>-567.29999999999995</v>
      </c>
      <c r="Y84" s="1"/>
      <c r="Z84" s="5">
        <f t="shared" ref="Z84:Z90" si="44">IF(T84=0,0,X84/T84)</f>
        <v>-0.84044444444444433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37"/>
        <v>0</v>
      </c>
      <c r="G85" s="2"/>
      <c r="H85" s="7">
        <v>75</v>
      </c>
      <c r="I85" s="2"/>
      <c r="J85" s="6">
        <f t="shared" si="38"/>
        <v>4.0394247859104867E-3</v>
      </c>
      <c r="K85" s="2"/>
      <c r="L85" s="7">
        <f t="shared" si="39"/>
        <v>-75</v>
      </c>
      <c r="M85" s="2"/>
      <c r="N85" s="6">
        <f t="shared" si="40"/>
        <v>-1</v>
      </c>
      <c r="O85" s="11"/>
      <c r="P85" s="7">
        <v>107.7</v>
      </c>
      <c r="Q85" s="2"/>
      <c r="R85" s="6">
        <f t="shared" si="41"/>
        <v>5.73557741927135E-5</v>
      </c>
      <c r="S85" s="2"/>
      <c r="T85" s="7">
        <v>675</v>
      </c>
      <c r="U85" s="2"/>
      <c r="V85" s="6">
        <f t="shared" si="42"/>
        <v>2.2809787324922211E-4</v>
      </c>
      <c r="W85" s="2"/>
      <c r="X85" s="7">
        <f t="shared" si="43"/>
        <v>-567.29999999999995</v>
      </c>
      <c r="Y85" s="2"/>
      <c r="Z85" s="6">
        <f t="shared" si="44"/>
        <v>-0.84044444444444433</v>
      </c>
    </row>
    <row r="86" spans="1:26" s="25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7"/>
        <v>7.8133896121130673E-3</v>
      </c>
      <c r="G86" s="1"/>
      <c r="H86" s="1">
        <f>SUM(OSRRefH22_5x_0)</f>
        <v>100</v>
      </c>
      <c r="I86" s="1"/>
      <c r="J86" s="5">
        <f t="shared" si="38"/>
        <v>5.385899714547315E-3</v>
      </c>
      <c r="K86" s="1"/>
      <c r="L86" s="1">
        <f t="shared" si="39"/>
        <v>-8.7399999999999949</v>
      </c>
      <c r="M86" s="1"/>
      <c r="N86" s="5">
        <f t="shared" si="40"/>
        <v>-8.739999999999995E-2</v>
      </c>
      <c r="O86" s="13"/>
      <c r="P86" s="1">
        <f>SUM(OSRRefP22_5x_0)</f>
        <v>821.34</v>
      </c>
      <c r="Q86" s="1"/>
      <c r="R86" s="5">
        <f t="shared" si="41"/>
        <v>4.374056785092229E-4</v>
      </c>
      <c r="S86" s="1"/>
      <c r="T86" s="1">
        <f>SUM(OSRRefT22_5x_0)</f>
        <v>900</v>
      </c>
      <c r="U86" s="1"/>
      <c r="V86" s="5">
        <f t="shared" si="42"/>
        <v>3.0413049766562947E-4</v>
      </c>
      <c r="W86" s="1"/>
      <c r="X86" s="1">
        <f t="shared" si="43"/>
        <v>-78.659999999999968</v>
      </c>
      <c r="Y86" s="1"/>
      <c r="Z86" s="5">
        <f t="shared" si="44"/>
        <v>-8.7399999999999964E-2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7">
        <v>91.26</v>
      </c>
      <c r="E87" s="2"/>
      <c r="F87" s="6">
        <f t="shared" si="37"/>
        <v>7.8133896121130673E-3</v>
      </c>
      <c r="G87" s="2"/>
      <c r="H87" s="7">
        <v>100</v>
      </c>
      <c r="I87" s="2"/>
      <c r="J87" s="6">
        <f t="shared" si="38"/>
        <v>5.385899714547315E-3</v>
      </c>
      <c r="K87" s="2"/>
      <c r="L87" s="7">
        <f t="shared" si="39"/>
        <v>-8.7399999999999949</v>
      </c>
      <c r="M87" s="2"/>
      <c r="N87" s="6">
        <f t="shared" si="40"/>
        <v>-8.739999999999995E-2</v>
      </c>
      <c r="O87" s="11"/>
      <c r="P87" s="7">
        <v>821.34</v>
      </c>
      <c r="Q87" s="2"/>
      <c r="R87" s="6">
        <f t="shared" si="41"/>
        <v>4.374056785092229E-4</v>
      </c>
      <c r="S87" s="2"/>
      <c r="T87" s="7">
        <v>900</v>
      </c>
      <c r="U87" s="2"/>
      <c r="V87" s="6">
        <f t="shared" si="42"/>
        <v>3.0413049766562947E-4</v>
      </c>
      <c r="W87" s="2"/>
      <c r="X87" s="7">
        <f t="shared" si="43"/>
        <v>-78.659999999999968</v>
      </c>
      <c r="Y87" s="2"/>
      <c r="Z87" s="6">
        <f t="shared" si="44"/>
        <v>-8.7399999999999964E-2</v>
      </c>
    </row>
    <row r="88" spans="1:26" s="25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7217.53</v>
      </c>
      <c r="E88" s="1"/>
      <c r="F88" s="5">
        <f t="shared" si="37"/>
        <v>0.61794185762781528</v>
      </c>
      <c r="G88" s="1"/>
      <c r="H88" s="1">
        <f>SUM(OSRRefH22_6x_0)</f>
        <v>5000</v>
      </c>
      <c r="I88" s="1"/>
      <c r="J88" s="5">
        <f t="shared" si="38"/>
        <v>0.26929498572736577</v>
      </c>
      <c r="K88" s="1"/>
      <c r="L88" s="1">
        <f t="shared" si="39"/>
        <v>2217.5299999999997</v>
      </c>
      <c r="M88" s="1"/>
      <c r="N88" s="5">
        <f t="shared" si="40"/>
        <v>0.44350599999999996</v>
      </c>
      <c r="O88" s="13"/>
      <c r="P88" s="1">
        <f>SUM(OSRRefP22_6x_0)</f>
        <v>17681.86</v>
      </c>
      <c r="Q88" s="1"/>
      <c r="R88" s="5">
        <f t="shared" si="41"/>
        <v>9.4164973952383761E-3</v>
      </c>
      <c r="S88" s="1"/>
      <c r="T88" s="1">
        <f>SUM(OSRRefT22_6x_0)</f>
        <v>20700</v>
      </c>
      <c r="U88" s="1"/>
      <c r="V88" s="5">
        <f t="shared" si="42"/>
        <v>6.9950014463094779E-3</v>
      </c>
      <c r="W88" s="1"/>
      <c r="X88" s="1">
        <f t="shared" si="43"/>
        <v>-3018.1399999999994</v>
      </c>
      <c r="Y88" s="1"/>
      <c r="Z88" s="5">
        <f t="shared" si="44"/>
        <v>-0.14580386473429949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7">
        <v>7217.53</v>
      </c>
      <c r="E89" s="2"/>
      <c r="F89" s="6">
        <f t="shared" si="37"/>
        <v>0.61794185762781528</v>
      </c>
      <c r="G89" s="2"/>
      <c r="H89" s="7">
        <v>5000</v>
      </c>
      <c r="I89" s="2"/>
      <c r="J89" s="6">
        <f t="shared" si="38"/>
        <v>0.26929498572736577</v>
      </c>
      <c r="K89" s="2"/>
      <c r="L89" s="7">
        <f t="shared" si="39"/>
        <v>2217.5299999999997</v>
      </c>
      <c r="M89" s="2"/>
      <c r="N89" s="6">
        <f t="shared" si="40"/>
        <v>0.44350599999999996</v>
      </c>
      <c r="O89" s="11"/>
      <c r="P89" s="7">
        <v>17681.36</v>
      </c>
      <c r="Q89" s="2"/>
      <c r="R89" s="6">
        <f t="shared" si="41"/>
        <v>9.4162311195921718E-3</v>
      </c>
      <c r="S89" s="2"/>
      <c r="T89" s="7">
        <v>20700</v>
      </c>
      <c r="U89" s="2"/>
      <c r="V89" s="6">
        <f t="shared" si="42"/>
        <v>6.9950014463094779E-3</v>
      </c>
      <c r="W89" s="2"/>
      <c r="X89" s="7">
        <f t="shared" si="43"/>
        <v>-3018.6399999999994</v>
      </c>
      <c r="Y89" s="2"/>
      <c r="Z89" s="6">
        <f t="shared" si="44"/>
        <v>-0.14582801932367148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0.5</v>
      </c>
      <c r="Q90" s="2"/>
      <c r="R90" s="6">
        <f t="shared" si="41"/>
        <v>2.6627564620572658E-7</v>
      </c>
      <c r="S90" s="2"/>
      <c r="T90" s="7"/>
      <c r="U90" s="2"/>
      <c r="V90" s="6">
        <f t="shared" si="42"/>
        <v>0</v>
      </c>
      <c r="W90" s="2"/>
      <c r="X90" s="7">
        <f t="shared" si="43"/>
        <v>0.5</v>
      </c>
      <c r="Y90" s="2"/>
      <c r="Z90" s="6">
        <f t="shared" si="44"/>
        <v>0</v>
      </c>
    </row>
    <row r="91" spans="1:26" s="25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0</v>
      </c>
      <c r="E91" s="1"/>
      <c r="F91" s="5">
        <f t="shared" ref="F91:F93" si="45">IF(D$12=0,0,D91/D$12)</f>
        <v>0</v>
      </c>
      <c r="G91" s="1"/>
      <c r="H91" s="1">
        <f>SUM(OSRRefH22_7x_0)</f>
        <v>0</v>
      </c>
      <c r="I91" s="1"/>
      <c r="J91" s="5">
        <f t="shared" ref="J91:J93" si="46">IF(H$12=0,0,H91/H$12)</f>
        <v>0</v>
      </c>
      <c r="K91" s="1"/>
      <c r="L91" s="1">
        <f t="shared" ref="L91:L93" si="47">+D91-H91</f>
        <v>0</v>
      </c>
      <c r="M91" s="1"/>
      <c r="N91" s="5">
        <f t="shared" ref="N91:N93" si="48">IF(H91=0,0,L91/H91)</f>
        <v>0</v>
      </c>
      <c r="O91" s="13"/>
      <c r="P91" s="1">
        <f>SUM(OSRRefP22_7x_0)</f>
        <v>-1042.03</v>
      </c>
      <c r="Q91" s="1"/>
      <c r="R91" s="5">
        <f t="shared" ref="R91:R93" si="49">IF(P$12=0,0,P91/P$12)</f>
        <v>-5.5493442323150646E-4</v>
      </c>
      <c r="S91" s="1"/>
      <c r="T91" s="1">
        <f>SUM(OSRRefT22_7x_0)</f>
        <v>1500</v>
      </c>
      <c r="U91" s="1"/>
      <c r="V91" s="5">
        <f t="shared" ref="V91:V93" si="50">IF(T$12=0,0,T91/T$12)</f>
        <v>5.0688416277604913E-4</v>
      </c>
      <c r="W91" s="1"/>
      <c r="X91" s="1">
        <f t="shared" ref="X91:X93" si="51">+P91-T91</f>
        <v>-2542.0299999999997</v>
      </c>
      <c r="Y91" s="1"/>
      <c r="Z91" s="5">
        <f t="shared" ref="Z91:Z93" si="52">IF(T91=0,0,X91/T91)</f>
        <v>-1.6946866666666665</v>
      </c>
    </row>
    <row r="92" spans="1:26" s="24" customFormat="1" hidden="1" outlineLevel="2" x14ac:dyDescent="0.25">
      <c r="A92" s="26"/>
      <c r="B92" s="11" t="str">
        <f>CONCATENATE("          ", "6269", " - ", "ENTERTAINMENT")</f>
        <v xml:space="preserve">          6269 - ENTERTAINMENT</v>
      </c>
      <c r="C92" s="11"/>
      <c r="D92" s="7"/>
      <c r="E92" s="2"/>
      <c r="F92" s="6">
        <f t="shared" si="45"/>
        <v>0</v>
      </c>
      <c r="G92" s="2"/>
      <c r="H92" s="7">
        <v>0</v>
      </c>
      <c r="I92" s="2"/>
      <c r="J92" s="6">
        <f t="shared" si="46"/>
        <v>0</v>
      </c>
      <c r="K92" s="2"/>
      <c r="L92" s="7">
        <f t="shared" si="47"/>
        <v>0</v>
      </c>
      <c r="M92" s="2"/>
      <c r="N92" s="6">
        <f t="shared" si="48"/>
        <v>0</v>
      </c>
      <c r="O92" s="11"/>
      <c r="P92" s="7"/>
      <c r="Q92" s="2"/>
      <c r="R92" s="6">
        <f t="shared" si="49"/>
        <v>0</v>
      </c>
      <c r="S92" s="2"/>
      <c r="T92" s="7">
        <v>1500</v>
      </c>
      <c r="U92" s="2"/>
      <c r="V92" s="6">
        <f t="shared" si="50"/>
        <v>5.0688416277604913E-4</v>
      </c>
      <c r="W92" s="2"/>
      <c r="X92" s="7">
        <f t="shared" si="51"/>
        <v>-1500</v>
      </c>
      <c r="Y92" s="2"/>
      <c r="Z92" s="6">
        <f t="shared" si="52"/>
        <v>-1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7">
        <v>0</v>
      </c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-1042.03</v>
      </c>
      <c r="Q93" s="2"/>
      <c r="R93" s="6">
        <f t="shared" si="49"/>
        <v>-5.5493442323150646E-4</v>
      </c>
      <c r="S93" s="2"/>
      <c r="T93" s="7"/>
      <c r="U93" s="2"/>
      <c r="V93" s="6">
        <f t="shared" si="50"/>
        <v>0</v>
      </c>
      <c r="W93" s="2"/>
      <c r="X93" s="7">
        <f t="shared" si="51"/>
        <v>-1042.03</v>
      </c>
      <c r="Y93" s="2"/>
      <c r="Z93" s="6">
        <f t="shared" si="52"/>
        <v>0</v>
      </c>
    </row>
    <row r="94" spans="1:26" s="25" customFormat="1" outlineLevel="1" collapsed="1" x14ac:dyDescent="0.25">
      <c r="A94" s="27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1000</v>
      </c>
      <c r="E94" s="1"/>
      <c r="F94" s="5">
        <f t="shared" ref="F94:F98" si="53">IF(D$12=0,0,D94/D$12)</f>
        <v>8.5616804866459215E-2</v>
      </c>
      <c r="G94" s="1"/>
      <c r="H94" s="1">
        <f>SUM(OSRRefH22_8x_0)</f>
        <v>1000</v>
      </c>
      <c r="I94" s="1"/>
      <c r="J94" s="5">
        <f t="shared" ref="J94:J98" si="54">IF(H$12=0,0,H94/H$12)</f>
        <v>5.3858997145473153E-2</v>
      </c>
      <c r="K94" s="1"/>
      <c r="L94" s="1">
        <f t="shared" ref="L94:L98" si="55">+D94-H94</f>
        <v>0</v>
      </c>
      <c r="M94" s="1"/>
      <c r="N94" s="5">
        <f t="shared" ref="N94:N98" si="56">IF(H94=0,0,L94/H94)</f>
        <v>0</v>
      </c>
      <c r="O94" s="13"/>
      <c r="P94" s="1">
        <f>SUM(OSRRefP22_8x_0)</f>
        <v>14000</v>
      </c>
      <c r="Q94" s="1"/>
      <c r="R94" s="5">
        <f t="shared" ref="R94:R98" si="57">IF(P$12=0,0,P94/P$12)</f>
        <v>7.4557180937603433E-3</v>
      </c>
      <c r="S94" s="1"/>
      <c r="T94" s="1">
        <f>SUM(OSRRefT22_8x_0)</f>
        <v>14000</v>
      </c>
      <c r="U94" s="1"/>
      <c r="V94" s="5">
        <f t="shared" ref="V94:V98" si="58">IF(T$12=0,0,T94/T$12)</f>
        <v>4.7309188525764588E-3</v>
      </c>
      <c r="W94" s="1"/>
      <c r="X94" s="1">
        <f t="shared" ref="X94:X98" si="59">+P94-T94</f>
        <v>0</v>
      </c>
      <c r="Y94" s="1"/>
      <c r="Z94" s="5">
        <f t="shared" ref="Z94:Z98" si="60">IF(T94=0,0,X94/T94)</f>
        <v>0</v>
      </c>
    </row>
    <row r="95" spans="1:26" s="24" customFormat="1" hidden="1" outlineLevel="2" x14ac:dyDescent="0.25">
      <c r="A95" s="26"/>
      <c r="B95" s="11" t="str">
        <f>CONCATENATE("          ", "6408", " - ", "INVENTORY ADJUSTMENT")</f>
        <v xml:space="preserve">          6408 - INVENTORY ADJUSTMENT</v>
      </c>
      <c r="C95" s="11"/>
      <c r="D95" s="7">
        <v>1000</v>
      </c>
      <c r="E95" s="2"/>
      <c r="F95" s="6">
        <f t="shared" si="53"/>
        <v>8.5616804866459215E-2</v>
      </c>
      <c r="G95" s="2"/>
      <c r="H95" s="7">
        <v>1000</v>
      </c>
      <c r="I95" s="2"/>
      <c r="J95" s="6">
        <f t="shared" si="54"/>
        <v>5.3858997145473153E-2</v>
      </c>
      <c r="K95" s="2"/>
      <c r="L95" s="7">
        <f t="shared" si="55"/>
        <v>0</v>
      </c>
      <c r="M95" s="2"/>
      <c r="N95" s="6">
        <f t="shared" si="56"/>
        <v>0</v>
      </c>
      <c r="O95" s="11"/>
      <c r="P95" s="7">
        <v>14000</v>
      </c>
      <c r="Q95" s="2"/>
      <c r="R95" s="6">
        <f t="shared" si="57"/>
        <v>7.4557180937603433E-3</v>
      </c>
      <c r="S95" s="2"/>
      <c r="T95" s="7">
        <v>14000</v>
      </c>
      <c r="U95" s="2"/>
      <c r="V95" s="6">
        <f t="shared" si="58"/>
        <v>4.7309188525764588E-3</v>
      </c>
      <c r="W95" s="2"/>
      <c r="X95" s="7">
        <f t="shared" si="59"/>
        <v>0</v>
      </c>
      <c r="Y95" s="2"/>
      <c r="Z95" s="6">
        <f t="shared" si="60"/>
        <v>0</v>
      </c>
    </row>
    <row r="96" spans="1:26" s="25" customFormat="1" outlineLevel="1" collapsed="1" x14ac:dyDescent="0.25">
      <c r="A96" s="27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24.47</v>
      </c>
      <c r="E96" s="1"/>
      <c r="F96" s="5">
        <f t="shared" si="53"/>
        <v>2.0950432150822567E-3</v>
      </c>
      <c r="G96" s="1"/>
      <c r="H96" s="1">
        <f>SUM(OSRRefH22_9x_0)</f>
        <v>140</v>
      </c>
      <c r="I96" s="1"/>
      <c r="J96" s="5">
        <f t="shared" si="54"/>
        <v>7.5402596003662408E-3</v>
      </c>
      <c r="K96" s="1"/>
      <c r="L96" s="1">
        <f t="shared" si="55"/>
        <v>-115.53</v>
      </c>
      <c r="M96" s="1"/>
      <c r="N96" s="5">
        <f t="shared" si="56"/>
        <v>-0.82521428571428568</v>
      </c>
      <c r="O96" s="13"/>
      <c r="P96" s="1">
        <f>SUM(OSRRefP22_9x_0)</f>
        <v>207.32</v>
      </c>
      <c r="Q96" s="1"/>
      <c r="R96" s="5">
        <f t="shared" si="57"/>
        <v>1.1040853394274245E-4</v>
      </c>
      <c r="S96" s="1"/>
      <c r="T96" s="1">
        <f>SUM(OSRRefT22_9x_0)</f>
        <v>1260</v>
      </c>
      <c r="U96" s="1"/>
      <c r="V96" s="5">
        <f t="shared" si="58"/>
        <v>4.2578269673188127E-4</v>
      </c>
      <c r="W96" s="1"/>
      <c r="X96" s="1">
        <f t="shared" si="59"/>
        <v>-1052.68</v>
      </c>
      <c r="Y96" s="1"/>
      <c r="Z96" s="5">
        <f t="shared" si="60"/>
        <v>-0.83546031746031746</v>
      </c>
    </row>
    <row r="97" spans="1:26" s="24" customFormat="1" hidden="1" outlineLevel="2" x14ac:dyDescent="0.25">
      <c r="A97" s="26"/>
      <c r="B97" s="11" t="str">
        <f>CONCATENATE("          ", "6373", " - ", "MAINTENANCE CONTRACTS")</f>
        <v xml:space="preserve">          6373 - MAINTENANCE CONTRACTS</v>
      </c>
      <c r="C97" s="11"/>
      <c r="D97" s="7">
        <v>24.47</v>
      </c>
      <c r="E97" s="2"/>
      <c r="F97" s="6">
        <f t="shared" si="53"/>
        <v>2.0950432150822567E-3</v>
      </c>
      <c r="G97" s="2"/>
      <c r="H97" s="7">
        <v>40</v>
      </c>
      <c r="I97" s="2"/>
      <c r="J97" s="6">
        <f t="shared" si="54"/>
        <v>2.1543598858189262E-3</v>
      </c>
      <c r="K97" s="2"/>
      <c r="L97" s="7">
        <f t="shared" si="55"/>
        <v>-15.530000000000001</v>
      </c>
      <c r="M97" s="2"/>
      <c r="N97" s="6">
        <f t="shared" si="56"/>
        <v>-0.38825000000000004</v>
      </c>
      <c r="O97" s="11"/>
      <c r="P97" s="7">
        <v>182.21</v>
      </c>
      <c r="Q97" s="2"/>
      <c r="R97" s="6">
        <f t="shared" si="57"/>
        <v>9.703617099029088E-5</v>
      </c>
      <c r="S97" s="2"/>
      <c r="T97" s="7">
        <v>360</v>
      </c>
      <c r="U97" s="2"/>
      <c r="V97" s="6">
        <f t="shared" si="58"/>
        <v>1.2165219906625178E-4</v>
      </c>
      <c r="W97" s="2"/>
      <c r="X97" s="7">
        <f t="shared" si="59"/>
        <v>-177.79</v>
      </c>
      <c r="Y97" s="2"/>
      <c r="Z97" s="6">
        <f t="shared" si="60"/>
        <v>-0.49386111111111108</v>
      </c>
    </row>
    <row r="98" spans="1:26" s="24" customFormat="1" hidden="1" outlineLevel="2" x14ac:dyDescent="0.25">
      <c r="A98" s="26"/>
      <c r="B98" s="11" t="str">
        <f>CONCATENATE("          ", "6375", " - ", "OUTSIDE REPAIRS &amp; MAINTENANCE")</f>
        <v xml:space="preserve">          6375 - OUTSIDE REPAIRS &amp; MAINTENANCE</v>
      </c>
      <c r="C98" s="11"/>
      <c r="D98" s="7"/>
      <c r="E98" s="2"/>
      <c r="F98" s="6">
        <f t="shared" si="53"/>
        <v>0</v>
      </c>
      <c r="G98" s="2"/>
      <c r="H98" s="7">
        <v>100</v>
      </c>
      <c r="I98" s="2"/>
      <c r="J98" s="6">
        <f t="shared" si="54"/>
        <v>5.385899714547315E-3</v>
      </c>
      <c r="K98" s="2"/>
      <c r="L98" s="7">
        <f t="shared" si="55"/>
        <v>-100</v>
      </c>
      <c r="M98" s="2"/>
      <c r="N98" s="6">
        <f t="shared" si="56"/>
        <v>-1</v>
      </c>
      <c r="O98" s="11"/>
      <c r="P98" s="7">
        <v>25.11</v>
      </c>
      <c r="Q98" s="2"/>
      <c r="R98" s="6">
        <f t="shared" si="57"/>
        <v>1.3372362952451588E-5</v>
      </c>
      <c r="S98" s="2"/>
      <c r="T98" s="7">
        <v>900</v>
      </c>
      <c r="U98" s="2"/>
      <c r="V98" s="6">
        <f t="shared" si="58"/>
        <v>3.0413049766562947E-4</v>
      </c>
      <c r="W98" s="2"/>
      <c r="X98" s="7">
        <f t="shared" si="59"/>
        <v>-874.89</v>
      </c>
      <c r="Y98" s="2"/>
      <c r="Z98" s="6">
        <f t="shared" si="60"/>
        <v>-0.97209999999999996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SUM(OSRRefD22_10x_0)</f>
        <v>232.79</v>
      </c>
      <c r="E99" s="1"/>
      <c r="F99" s="5">
        <f t="shared" ref="F99:F101" si="61">IF(D$12=0,0,D99/D$12)</f>
        <v>1.9930736004863038E-2</v>
      </c>
      <c r="G99" s="1"/>
      <c r="H99" s="1">
        <f>SUM(OSRRefH22_10x_0)</f>
        <v>300</v>
      </c>
      <c r="I99" s="1"/>
      <c r="J99" s="5">
        <f t="shared" ref="J99:J101" si="62">IF(H$12=0,0,H99/H$12)</f>
        <v>1.6157699143641947E-2</v>
      </c>
      <c r="K99" s="1"/>
      <c r="L99" s="1">
        <f t="shared" ref="L99:L101" si="63">+D99-H99</f>
        <v>-67.210000000000008</v>
      </c>
      <c r="M99" s="1"/>
      <c r="N99" s="5">
        <f t="shared" ref="N99:N101" si="64">IF(H99=0,0,L99/H99)</f>
        <v>-0.22403333333333336</v>
      </c>
      <c r="O99" s="13"/>
      <c r="P99" s="1">
        <f>SUM(OSRRefP22_10x_0)</f>
        <v>4326.63</v>
      </c>
      <c r="Q99" s="1"/>
      <c r="R99" s="5">
        <f t="shared" ref="R99:R101" si="65">IF(P$12=0,0,P99/P$12)</f>
        <v>2.3041523982861656E-3</v>
      </c>
      <c r="S99" s="1"/>
      <c r="T99" s="1">
        <f>SUM(OSRRefT22_10x_0)</f>
        <v>2700</v>
      </c>
      <c r="U99" s="1"/>
      <c r="V99" s="5">
        <f t="shared" ref="V99:V101" si="66">IF(T$12=0,0,T99/T$12)</f>
        <v>9.1239149299688846E-4</v>
      </c>
      <c r="W99" s="1"/>
      <c r="X99" s="1">
        <f t="shared" ref="X99:X101" si="67">+P99-T99</f>
        <v>1626.63</v>
      </c>
      <c r="Y99" s="1"/>
      <c r="Z99" s="5">
        <f t="shared" ref="Z99:Z101" si="68">IF(T99=0,0,X99/T99)</f>
        <v>0.60245555555555563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>
        <v>232.79</v>
      </c>
      <c r="E100" s="2"/>
      <c r="F100" s="6">
        <f t="shared" si="61"/>
        <v>1.9930736004863038E-2</v>
      </c>
      <c r="G100" s="2"/>
      <c r="H100" s="7">
        <v>300</v>
      </c>
      <c r="I100" s="2"/>
      <c r="J100" s="6">
        <f t="shared" si="62"/>
        <v>1.6157699143641947E-2</v>
      </c>
      <c r="K100" s="2"/>
      <c r="L100" s="7">
        <f t="shared" si="63"/>
        <v>-67.210000000000008</v>
      </c>
      <c r="M100" s="2"/>
      <c r="N100" s="6">
        <f t="shared" si="64"/>
        <v>-0.22403333333333336</v>
      </c>
      <c r="O100" s="11"/>
      <c r="P100" s="7">
        <v>2474.5500000000002</v>
      </c>
      <c r="Q100" s="2"/>
      <c r="R100" s="6">
        <f t="shared" si="65"/>
        <v>1.3178248006367615E-3</v>
      </c>
      <c r="S100" s="2"/>
      <c r="T100" s="7">
        <v>2700</v>
      </c>
      <c r="U100" s="2"/>
      <c r="V100" s="6">
        <f t="shared" si="66"/>
        <v>9.1239149299688846E-4</v>
      </c>
      <c r="W100" s="2"/>
      <c r="X100" s="7">
        <f t="shared" si="67"/>
        <v>-225.44999999999982</v>
      </c>
      <c r="Y100" s="2"/>
      <c r="Z100" s="6">
        <f t="shared" si="68"/>
        <v>-8.3499999999999935E-2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/>
      <c r="E101" s="2"/>
      <c r="F101" s="6">
        <f t="shared" si="61"/>
        <v>0</v>
      </c>
      <c r="G101" s="2"/>
      <c r="H101" s="7"/>
      <c r="I101" s="2"/>
      <c r="J101" s="6">
        <f t="shared" si="62"/>
        <v>0</v>
      </c>
      <c r="K101" s="2"/>
      <c r="L101" s="7">
        <f t="shared" si="63"/>
        <v>0</v>
      </c>
      <c r="M101" s="2"/>
      <c r="N101" s="6">
        <f t="shared" si="64"/>
        <v>0</v>
      </c>
      <c r="O101" s="11"/>
      <c r="P101" s="7">
        <v>1852.08</v>
      </c>
      <c r="Q101" s="2"/>
      <c r="R101" s="6">
        <f t="shared" si="65"/>
        <v>9.8632759764940409E-4</v>
      </c>
      <c r="S101" s="2"/>
      <c r="T101" s="7"/>
      <c r="U101" s="2"/>
      <c r="V101" s="6">
        <f t="shared" si="66"/>
        <v>0</v>
      </c>
      <c r="W101" s="2"/>
      <c r="X101" s="7">
        <f t="shared" si="67"/>
        <v>1852.08</v>
      </c>
      <c r="Y101" s="2"/>
      <c r="Z101" s="6">
        <f t="shared" si="68"/>
        <v>0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SUM(OSRRefD22_11x_0)</f>
        <v>175.16</v>
      </c>
      <c r="E102" s="1"/>
      <c r="F102" s="5">
        <f t="shared" ref="F102:F105" si="69">IF(D$12=0,0,D102/D$12)</f>
        <v>1.4996639540408994E-2</v>
      </c>
      <c r="G102" s="1"/>
      <c r="H102" s="1">
        <f>SUM(OSRRefH22_11x_0)</f>
        <v>1100</v>
      </c>
      <c r="I102" s="1"/>
      <c r="J102" s="5">
        <f t="shared" ref="J102:J105" si="70">IF(H$12=0,0,H102/H$12)</f>
        <v>5.924489686002047E-2</v>
      </c>
      <c r="K102" s="1"/>
      <c r="L102" s="1">
        <f t="shared" ref="L102:L105" si="71">+D102-H102</f>
        <v>-924.84</v>
      </c>
      <c r="M102" s="1"/>
      <c r="N102" s="5">
        <f t="shared" ref="N102:N105" si="72">IF(H102=0,0,L102/H102)</f>
        <v>-0.84076363636363638</v>
      </c>
      <c r="O102" s="13"/>
      <c r="P102" s="1">
        <f>SUM(OSRRefP22_11x_0)</f>
        <v>5010.66</v>
      </c>
      <c r="Q102" s="1"/>
      <c r="R102" s="5">
        <f t="shared" ref="R102:R105" si="73">IF(P$12=0,0,P102/P$12)</f>
        <v>2.6684334588343715E-3</v>
      </c>
      <c r="S102" s="1"/>
      <c r="T102" s="1">
        <f>SUM(OSRRefT22_11x_0)</f>
        <v>11300</v>
      </c>
      <c r="U102" s="1"/>
      <c r="V102" s="5">
        <f t="shared" ref="V102:V105" si="74">IF(T$12=0,0,T102/T$12)</f>
        <v>3.8185273595795701E-3</v>
      </c>
      <c r="W102" s="1"/>
      <c r="X102" s="1">
        <f t="shared" ref="X102:X105" si="75">+P102-T102</f>
        <v>-6289.34</v>
      </c>
      <c r="Y102" s="1"/>
      <c r="Z102" s="5">
        <f t="shared" ref="Z102:Z105" si="76">IF(T102=0,0,X102/T102)</f>
        <v>-0.55657876106194693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160.69999999999999</v>
      </c>
      <c r="E103" s="2"/>
      <c r="F103" s="6">
        <f t="shared" si="69"/>
        <v>1.3758620542039994E-2</v>
      </c>
      <c r="G103" s="2"/>
      <c r="H103" s="7">
        <v>300</v>
      </c>
      <c r="I103" s="2"/>
      <c r="J103" s="6">
        <f t="shared" si="70"/>
        <v>1.6157699143641947E-2</v>
      </c>
      <c r="K103" s="2"/>
      <c r="L103" s="7">
        <f t="shared" si="71"/>
        <v>-139.30000000000001</v>
      </c>
      <c r="M103" s="2"/>
      <c r="N103" s="6">
        <f t="shared" si="72"/>
        <v>-0.46433333333333338</v>
      </c>
      <c r="O103" s="11"/>
      <c r="P103" s="7">
        <v>1415.3</v>
      </c>
      <c r="Q103" s="2"/>
      <c r="R103" s="6">
        <f t="shared" si="73"/>
        <v>7.5371984414992956E-4</v>
      </c>
      <c r="S103" s="2"/>
      <c r="T103" s="7">
        <v>3900</v>
      </c>
      <c r="U103" s="2"/>
      <c r="V103" s="6">
        <f t="shared" si="74"/>
        <v>1.3178988232177278E-3</v>
      </c>
      <c r="W103" s="2"/>
      <c r="X103" s="7">
        <f t="shared" si="75"/>
        <v>-2484.6999999999998</v>
      </c>
      <c r="Y103" s="2"/>
      <c r="Z103" s="6">
        <f t="shared" si="76"/>
        <v>-0.63710256410256405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69"/>
        <v>0</v>
      </c>
      <c r="G104" s="2"/>
      <c r="H104" s="7">
        <v>100</v>
      </c>
      <c r="I104" s="2"/>
      <c r="J104" s="6">
        <f t="shared" si="70"/>
        <v>5.385899714547315E-3</v>
      </c>
      <c r="K104" s="2"/>
      <c r="L104" s="7">
        <f t="shared" si="71"/>
        <v>-100</v>
      </c>
      <c r="M104" s="2"/>
      <c r="N104" s="6">
        <f t="shared" si="72"/>
        <v>-1</v>
      </c>
      <c r="O104" s="11"/>
      <c r="P104" s="7"/>
      <c r="Q104" s="2"/>
      <c r="R104" s="6">
        <f t="shared" si="73"/>
        <v>0</v>
      </c>
      <c r="S104" s="2"/>
      <c r="T104" s="7">
        <v>1900</v>
      </c>
      <c r="U104" s="2"/>
      <c r="V104" s="6">
        <f t="shared" si="74"/>
        <v>6.420532728496622E-4</v>
      </c>
      <c r="W104" s="2"/>
      <c r="X104" s="7">
        <f t="shared" si="75"/>
        <v>-1900</v>
      </c>
      <c r="Y104" s="2"/>
      <c r="Z104" s="6">
        <f t="shared" si="76"/>
        <v>-1</v>
      </c>
    </row>
    <row r="105" spans="1:26" s="24" customFormat="1" hidden="1" outlineLevel="2" x14ac:dyDescent="0.25">
      <c r="A105" s="26"/>
      <c r="B105" s="11" t="str">
        <f>CONCATENATE("          ", "6247", " - ", "STORE SUPPLIES")</f>
        <v xml:space="preserve">          6247 - STORE SUPPLIES</v>
      </c>
      <c r="C105" s="11"/>
      <c r="D105" s="7">
        <v>14.46</v>
      </c>
      <c r="E105" s="2"/>
      <c r="F105" s="6">
        <f t="shared" si="69"/>
        <v>1.2380189983690003E-3</v>
      </c>
      <c r="G105" s="2"/>
      <c r="H105" s="7">
        <v>700</v>
      </c>
      <c r="I105" s="2"/>
      <c r="J105" s="6">
        <f t="shared" si="70"/>
        <v>3.7701298001831203E-2</v>
      </c>
      <c r="K105" s="2"/>
      <c r="L105" s="7">
        <f t="shared" si="71"/>
        <v>-685.54</v>
      </c>
      <c r="M105" s="2"/>
      <c r="N105" s="6">
        <f t="shared" si="72"/>
        <v>-0.97934285714285707</v>
      </c>
      <c r="O105" s="11"/>
      <c r="P105" s="7">
        <v>3595.36</v>
      </c>
      <c r="Q105" s="2"/>
      <c r="R105" s="6">
        <f t="shared" si="73"/>
        <v>1.9147136146844422E-3</v>
      </c>
      <c r="S105" s="2"/>
      <c r="T105" s="7">
        <v>5500</v>
      </c>
      <c r="U105" s="2"/>
      <c r="V105" s="6">
        <f t="shared" si="74"/>
        <v>1.8585752635121801E-3</v>
      </c>
      <c r="W105" s="2"/>
      <c r="X105" s="7">
        <f t="shared" si="75"/>
        <v>-1904.6399999999999</v>
      </c>
      <c r="Y105" s="2"/>
      <c r="Z105" s="6">
        <f t="shared" si="76"/>
        <v>-0.34629818181818178</v>
      </c>
    </row>
    <row r="106" spans="1:26" s="25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418.4</v>
      </c>
      <c r="E106" s="1"/>
      <c r="F106" s="5">
        <f t="shared" ref="F106:F108" si="77">IF(D$12=0,0,D106/D$12)</f>
        <v>3.5822071156126532E-2</v>
      </c>
      <c r="G106" s="1"/>
      <c r="H106" s="1">
        <f>SUM(OSRRefH22_12x_0)</f>
        <v>600</v>
      </c>
      <c r="I106" s="1"/>
      <c r="J106" s="5">
        <f t="shared" ref="J106:J108" si="78">IF(H$12=0,0,H106/H$12)</f>
        <v>3.2315398287283893E-2</v>
      </c>
      <c r="K106" s="1"/>
      <c r="L106" s="1">
        <f t="shared" ref="L106:L108" si="79">+D106-H106</f>
        <v>-181.60000000000002</v>
      </c>
      <c r="M106" s="1"/>
      <c r="N106" s="5">
        <f t="shared" ref="N106:N108" si="80">IF(H106=0,0,L106/H106)</f>
        <v>-0.30266666666666669</v>
      </c>
      <c r="O106" s="13"/>
      <c r="P106" s="1">
        <f>SUM(OSRRefP22_12x_0)</f>
        <v>7181.95</v>
      </c>
      <c r="Q106" s="1"/>
      <c r="R106" s="5">
        <f t="shared" ref="R106:R108" si="81">IF(P$12=0,0,P106/P$12)</f>
        <v>3.8247567545344357E-3</v>
      </c>
      <c r="S106" s="1"/>
      <c r="T106" s="1">
        <f>SUM(OSRRefT22_12x_0)</f>
        <v>7700</v>
      </c>
      <c r="U106" s="1"/>
      <c r="V106" s="5">
        <f t="shared" ref="V106:V108" si="82">IF(T$12=0,0,T106/T$12)</f>
        <v>2.602005368917052E-3</v>
      </c>
      <c r="W106" s="1"/>
      <c r="X106" s="1">
        <f t="shared" ref="X106:X108" si="83">+P106-T106</f>
        <v>-518.05000000000018</v>
      </c>
      <c r="Y106" s="1"/>
      <c r="Z106" s="5">
        <f t="shared" ref="Z106:Z108" si="84">IF(T106=0,0,X106/T106)</f>
        <v>-6.72792207792208E-2</v>
      </c>
    </row>
    <row r="107" spans="1:26" s="24" customFormat="1" hidden="1" outlineLevel="2" x14ac:dyDescent="0.25">
      <c r="A107" s="26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77"/>
        <v>0</v>
      </c>
      <c r="G107" s="2"/>
      <c r="H107" s="7">
        <v>300</v>
      </c>
      <c r="I107" s="2"/>
      <c r="J107" s="6">
        <f t="shared" si="78"/>
        <v>1.6157699143641947E-2</v>
      </c>
      <c r="K107" s="2"/>
      <c r="L107" s="7">
        <f t="shared" si="79"/>
        <v>-300</v>
      </c>
      <c r="M107" s="2"/>
      <c r="N107" s="6">
        <f t="shared" si="80"/>
        <v>-1</v>
      </c>
      <c r="O107" s="11"/>
      <c r="P107" s="7">
        <v>2950</v>
      </c>
      <c r="Q107" s="2"/>
      <c r="R107" s="6">
        <f t="shared" si="81"/>
        <v>1.5710263126137867E-3</v>
      </c>
      <c r="S107" s="2"/>
      <c r="T107" s="7">
        <v>2700</v>
      </c>
      <c r="U107" s="2"/>
      <c r="V107" s="6">
        <f t="shared" si="82"/>
        <v>9.1239149299688846E-4</v>
      </c>
      <c r="W107" s="2"/>
      <c r="X107" s="7">
        <f t="shared" si="83"/>
        <v>250</v>
      </c>
      <c r="Y107" s="2"/>
      <c r="Z107" s="6">
        <f t="shared" si="84"/>
        <v>9.2592592592592587E-2</v>
      </c>
    </row>
    <row r="108" spans="1:26" s="24" customFormat="1" hidden="1" outlineLevel="2" x14ac:dyDescent="0.25">
      <c r="A108" s="26"/>
      <c r="B108" s="11" t="str">
        <f>CONCATENATE("          ", "6309", " - ", "TELEPHONE")</f>
        <v xml:space="preserve">          6309 - TELEPHONE</v>
      </c>
      <c r="C108" s="11"/>
      <c r="D108" s="7">
        <v>418.4</v>
      </c>
      <c r="E108" s="2"/>
      <c r="F108" s="6">
        <f t="shared" si="77"/>
        <v>3.5822071156126532E-2</v>
      </c>
      <c r="G108" s="2"/>
      <c r="H108" s="7">
        <v>300</v>
      </c>
      <c r="I108" s="2"/>
      <c r="J108" s="6">
        <f t="shared" si="78"/>
        <v>1.6157699143641947E-2</v>
      </c>
      <c r="K108" s="2"/>
      <c r="L108" s="7">
        <f t="shared" si="79"/>
        <v>118.39999999999998</v>
      </c>
      <c r="M108" s="2"/>
      <c r="N108" s="6">
        <f t="shared" si="80"/>
        <v>0.39466666666666661</v>
      </c>
      <c r="O108" s="11"/>
      <c r="P108" s="7">
        <v>4231.95</v>
      </c>
      <c r="Q108" s="2"/>
      <c r="R108" s="6">
        <f t="shared" si="81"/>
        <v>2.2537304419206487E-3</v>
      </c>
      <c r="S108" s="2"/>
      <c r="T108" s="7">
        <v>5000</v>
      </c>
      <c r="U108" s="2"/>
      <c r="V108" s="6">
        <f t="shared" si="82"/>
        <v>1.6896138759201636E-3</v>
      </c>
      <c r="W108" s="2"/>
      <c r="X108" s="7">
        <f t="shared" si="83"/>
        <v>-768.05000000000018</v>
      </c>
      <c r="Y108" s="2"/>
      <c r="Z108" s="6">
        <f t="shared" si="84"/>
        <v>-0.15361000000000002</v>
      </c>
    </row>
    <row r="109" spans="1:26" s="25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0</v>
      </c>
      <c r="E109" s="1"/>
      <c r="F109" s="5">
        <f t="shared" ref="F109:F112" si="85">IF(D$12=0,0,D109/D$12)</f>
        <v>0</v>
      </c>
      <c r="G109" s="1"/>
      <c r="H109" s="1">
        <f>SUM(OSRRefH22_13x_0)</f>
        <v>0</v>
      </c>
      <c r="I109" s="1"/>
      <c r="J109" s="5">
        <f t="shared" ref="J109:J112" si="86">IF(H$12=0,0,H109/H$12)</f>
        <v>0</v>
      </c>
      <c r="K109" s="1"/>
      <c r="L109" s="1">
        <f t="shared" ref="L109:L112" si="87">+D109-H109</f>
        <v>0</v>
      </c>
      <c r="M109" s="1"/>
      <c r="N109" s="5">
        <f t="shared" ref="N109:N112" si="88">IF(H109=0,0,L109/H109)</f>
        <v>0</v>
      </c>
      <c r="O109" s="13"/>
      <c r="P109" s="1">
        <f>SUM(OSRRefP22_13x_0)</f>
        <v>0</v>
      </c>
      <c r="Q109" s="1"/>
      <c r="R109" s="5">
        <f t="shared" ref="R109:R112" si="89">IF(P$12=0,0,P109/P$12)</f>
        <v>0</v>
      </c>
      <c r="S109" s="1"/>
      <c r="T109" s="1">
        <f>SUM(OSRRefT22_13x_0)</f>
        <v>5000</v>
      </c>
      <c r="U109" s="1"/>
      <c r="V109" s="5">
        <f t="shared" ref="V109:V112" si="90">IF(T$12=0,0,T109/T$12)</f>
        <v>1.6896138759201636E-3</v>
      </c>
      <c r="W109" s="1"/>
      <c r="X109" s="1">
        <f t="shared" ref="X109:X112" si="91">+P109-T109</f>
        <v>-5000</v>
      </c>
      <c r="Y109" s="1"/>
      <c r="Z109" s="5">
        <f t="shared" ref="Z109:Z112" si="92">IF(T109=0,0,X109/T109)</f>
        <v>-1</v>
      </c>
    </row>
    <row r="110" spans="1:26" s="24" customFormat="1" hidden="1" outlineLevel="2" x14ac:dyDescent="0.25">
      <c r="A110" s="26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/>
      <c r="Q110" s="2"/>
      <c r="R110" s="6">
        <f t="shared" si="89"/>
        <v>0</v>
      </c>
      <c r="S110" s="2"/>
      <c r="T110" s="7">
        <v>5000</v>
      </c>
      <c r="U110" s="2"/>
      <c r="V110" s="6">
        <f t="shared" si="90"/>
        <v>1.6896138759201636E-3</v>
      </c>
      <c r="W110" s="2"/>
      <c r="X110" s="7">
        <f t="shared" si="91"/>
        <v>-5000</v>
      </c>
      <c r="Y110" s="2"/>
      <c r="Z110" s="6">
        <f t="shared" si="92"/>
        <v>-1</v>
      </c>
    </row>
    <row r="111" spans="1:26" s="25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85"/>
        <v>0</v>
      </c>
      <c r="G111" s="1"/>
      <c r="H111" s="1">
        <f>SUM(OSRRefH22_14x_0)</f>
        <v>0</v>
      </c>
      <c r="I111" s="1"/>
      <c r="J111" s="5">
        <f t="shared" si="86"/>
        <v>0</v>
      </c>
      <c r="K111" s="1"/>
      <c r="L111" s="1">
        <f t="shared" si="87"/>
        <v>0</v>
      </c>
      <c r="M111" s="1"/>
      <c r="N111" s="5">
        <f t="shared" si="88"/>
        <v>0</v>
      </c>
      <c r="O111" s="13"/>
      <c r="P111" s="1">
        <f>SUM(OSRRefP22_14x_0)</f>
        <v>0.16</v>
      </c>
      <c r="Q111" s="1"/>
      <c r="R111" s="5">
        <f t="shared" si="89"/>
        <v>8.5208206785832498E-8</v>
      </c>
      <c r="S111" s="1"/>
      <c r="T111" s="1">
        <f>SUM(OSRRefT22_14x_0)</f>
        <v>0</v>
      </c>
      <c r="U111" s="1"/>
      <c r="V111" s="5">
        <f t="shared" si="90"/>
        <v>0</v>
      </c>
      <c r="W111" s="1"/>
      <c r="X111" s="1">
        <f t="shared" si="91"/>
        <v>0.16</v>
      </c>
      <c r="Y111" s="1"/>
      <c r="Z111" s="5">
        <f t="shared" si="92"/>
        <v>0</v>
      </c>
    </row>
    <row r="112" spans="1:26" s="24" customFormat="1" hidden="1" outlineLevel="2" x14ac:dyDescent="0.25">
      <c r="A112" s="26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85"/>
        <v>0</v>
      </c>
      <c r="G112" s="2"/>
      <c r="H112" s="7"/>
      <c r="I112" s="2"/>
      <c r="J112" s="6">
        <f t="shared" si="86"/>
        <v>0</v>
      </c>
      <c r="K112" s="2"/>
      <c r="L112" s="7">
        <f t="shared" si="87"/>
        <v>0</v>
      </c>
      <c r="M112" s="2"/>
      <c r="N112" s="6">
        <f t="shared" si="88"/>
        <v>0</v>
      </c>
      <c r="O112" s="11"/>
      <c r="P112" s="7">
        <v>0.16</v>
      </c>
      <c r="Q112" s="2"/>
      <c r="R112" s="6">
        <f t="shared" si="89"/>
        <v>8.5208206785832498E-8</v>
      </c>
      <c r="S112" s="2"/>
      <c r="T112" s="7"/>
      <c r="U112" s="2"/>
      <c r="V112" s="6">
        <f t="shared" si="90"/>
        <v>0</v>
      </c>
      <c r="W112" s="2"/>
      <c r="X112" s="7">
        <f t="shared" si="91"/>
        <v>0.16</v>
      </c>
      <c r="Y112" s="2"/>
      <c r="Z112" s="6">
        <f t="shared" si="92"/>
        <v>0</v>
      </c>
    </row>
    <row r="113" spans="1:26" s="59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8" t="s">
        <v>293</v>
      </c>
      <c r="C114" s="10"/>
      <c r="D114" s="4">
        <f>SUM(OSRRefD25x_0)</f>
        <v>4864.2299999999996</v>
      </c>
      <c r="E114" s="4"/>
      <c r="F114" s="12">
        <f t="shared" ref="F114:F117" si="93">IF(D$12=0,0,D114/D$12)</f>
        <v>0.41645983073557685</v>
      </c>
      <c r="G114" s="4"/>
      <c r="H114" s="4">
        <f>SUM(OSRRefH25x_0)</f>
        <v>600</v>
      </c>
      <c r="I114" s="4"/>
      <c r="J114" s="12">
        <f t="shared" ref="J114:J117" si="94">IF(H$12=0,0,H114/H$12)</f>
        <v>3.2315398287283893E-2</v>
      </c>
      <c r="K114" s="4"/>
      <c r="L114" s="4">
        <f t="shared" ref="L114:L117" si="95">+D114-H114</f>
        <v>4264.2299999999996</v>
      </c>
      <c r="M114" s="4"/>
      <c r="N114" s="12">
        <f t="shared" ref="N114:N117" si="96">IF(H114=0,0,L114/H114)</f>
        <v>7.1070499999999992</v>
      </c>
      <c r="O114" s="10"/>
      <c r="P114" s="4">
        <f>SUM(OSRRefP25x_0)</f>
        <v>330802.13</v>
      </c>
      <c r="Q114" s="4"/>
      <c r="R114" s="12">
        <f t="shared" ref="R114:R117" si="97">IF(P$12=0,0,P114/P$12)</f>
        <v>0.17616910186396154</v>
      </c>
      <c r="S114" s="4"/>
      <c r="T114" s="4">
        <f>SUM(OSRRefT25x_0)</f>
        <v>196680</v>
      </c>
      <c r="U114" s="4"/>
      <c r="V114" s="12">
        <f t="shared" ref="V114:V117" si="98">IF(T$12=0,0,T114/T$12)</f>
        <v>6.646265142319556E-2</v>
      </c>
      <c r="W114" s="4"/>
      <c r="X114" s="4">
        <f t="shared" ref="X114:X117" si="99">+P114-T114</f>
        <v>134122.13</v>
      </c>
      <c r="Y114" s="4"/>
      <c r="Z114" s="12">
        <f t="shared" ref="Z114:Z117" si="100">IF(T114=0,0,X114/T114)</f>
        <v>0.68193069961358554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--6749.36</f>
        <v>6749.36</v>
      </c>
      <c r="E115" s="2"/>
      <c r="F115" s="19">
        <f t="shared" si="93"/>
        <v>0.57785863809348514</v>
      </c>
      <c r="G115" s="2"/>
      <c r="H115" s="2">
        <v>600</v>
      </c>
      <c r="I115" s="2"/>
      <c r="J115" s="19">
        <f t="shared" si="94"/>
        <v>3.2315398287283893E-2</v>
      </c>
      <c r="K115" s="2"/>
      <c r="L115" s="2">
        <f t="shared" si="95"/>
        <v>6149.36</v>
      </c>
      <c r="M115" s="2"/>
      <c r="N115" s="19">
        <f t="shared" si="96"/>
        <v>10.248933333333333</v>
      </c>
      <c r="O115" s="11"/>
      <c r="P115" s="2">
        <f>--31463.11</f>
        <v>31463.11</v>
      </c>
      <c r="Q115" s="2"/>
      <c r="R115" s="19">
        <f t="shared" si="97"/>
        <v>1.6755719893783716E-2</v>
      </c>
      <c r="S115" s="2"/>
      <c r="T115" s="2">
        <v>25600</v>
      </c>
      <c r="U115" s="2"/>
      <c r="V115" s="19">
        <f t="shared" si="98"/>
        <v>8.6508230447112384E-3</v>
      </c>
      <c r="W115" s="2"/>
      <c r="X115" s="2">
        <f t="shared" si="99"/>
        <v>5863.1100000000006</v>
      </c>
      <c r="Y115" s="2"/>
      <c r="Z115" s="19">
        <f t="shared" si="100"/>
        <v>0.22902773437500001</v>
      </c>
    </row>
    <row r="116" spans="1:26" s="24" customFormat="1" hidden="1" outlineLevel="1" x14ac:dyDescent="0.25">
      <c r="A116" s="44"/>
      <c r="B116" s="11" t="str">
        <f>CONCATENATE("          ", "9151", " - ", "MISC. INCOME")</f>
        <v xml:space="preserve">          9151 - MISC. INCOME</v>
      </c>
      <c r="C116" s="11"/>
      <c r="D116" s="2">
        <f>-2282.24</f>
        <v>-2282.2399999999998</v>
      </c>
      <c r="E116" s="2"/>
      <c r="F116" s="19">
        <f t="shared" si="93"/>
        <v>-0.19539809673842784</v>
      </c>
      <c r="G116" s="2"/>
      <c r="H116" s="2"/>
      <c r="I116" s="2"/>
      <c r="J116" s="19">
        <f t="shared" si="94"/>
        <v>0</v>
      </c>
      <c r="K116" s="2"/>
      <c r="L116" s="2">
        <f t="shared" si="95"/>
        <v>-2282.2399999999998</v>
      </c>
      <c r="M116" s="2"/>
      <c r="N116" s="19">
        <f t="shared" si="96"/>
        <v>0</v>
      </c>
      <c r="O116" s="11"/>
      <c r="P116" s="2">
        <f>--295628.46</f>
        <v>295628.46000000002</v>
      </c>
      <c r="Q116" s="2"/>
      <c r="R116" s="19">
        <f t="shared" si="97"/>
        <v>0.15743731844660758</v>
      </c>
      <c r="S116" s="2"/>
      <c r="T116" s="2">
        <v>171080</v>
      </c>
      <c r="U116" s="2"/>
      <c r="V116" s="19">
        <f t="shared" si="98"/>
        <v>5.7811828378484323E-2</v>
      </c>
      <c r="W116" s="2"/>
      <c r="X116" s="2">
        <f t="shared" si="99"/>
        <v>124548.46000000002</v>
      </c>
      <c r="Y116" s="2"/>
      <c r="Z116" s="19">
        <f t="shared" si="100"/>
        <v>0.72801297638531692</v>
      </c>
    </row>
    <row r="117" spans="1:26" s="24" customFormat="1" hidden="1" outlineLevel="1" x14ac:dyDescent="0.25">
      <c r="A117" s="44"/>
      <c r="B117" s="11" t="str">
        <f>CONCATENATE("          ", "9152", " - ", "MISC. INCOME")</f>
        <v xml:space="preserve">          9152 - MISC. INCOME</v>
      </c>
      <c r="C117" s="11"/>
      <c r="D117" s="2">
        <f>--397.11</f>
        <v>397.11</v>
      </c>
      <c r="E117" s="2"/>
      <c r="F117" s="19">
        <f t="shared" si="93"/>
        <v>3.3999289380519618E-2</v>
      </c>
      <c r="G117" s="2"/>
      <c r="H117" s="2"/>
      <c r="I117" s="2"/>
      <c r="J117" s="19">
        <f t="shared" si="94"/>
        <v>0</v>
      </c>
      <c r="K117" s="2"/>
      <c r="L117" s="2">
        <f t="shared" si="95"/>
        <v>397.11</v>
      </c>
      <c r="M117" s="2"/>
      <c r="N117" s="19">
        <f t="shared" si="96"/>
        <v>0</v>
      </c>
      <c r="O117" s="11"/>
      <c r="P117" s="2">
        <f>--3710.56</f>
        <v>3710.56</v>
      </c>
      <c r="Q117" s="2"/>
      <c r="R117" s="19">
        <f t="shared" si="97"/>
        <v>1.9760635235702415E-3</v>
      </c>
      <c r="S117" s="2"/>
      <c r="T117" s="2"/>
      <c r="U117" s="2"/>
      <c r="V117" s="19">
        <f t="shared" si="98"/>
        <v>0</v>
      </c>
      <c r="W117" s="2"/>
      <c r="X117" s="2">
        <f t="shared" si="99"/>
        <v>3710.56</v>
      </c>
      <c r="Y117" s="2"/>
      <c r="Z117" s="19">
        <f t="shared" si="100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9" t="s">
        <v>277</v>
      </c>
      <c r="C119" s="29"/>
      <c r="D119" s="20">
        <f>+D54-D56+D114</f>
        <v>-39385.770000000019</v>
      </c>
      <c r="E119" s="14"/>
      <c r="F119" s="21">
        <f>IF(D$12=0,0,D119/D$12)</f>
        <v>-3.3720837846052447</v>
      </c>
      <c r="G119" s="14"/>
      <c r="H119" s="20">
        <f>+H54-H56+H114</f>
        <v>-40122.565417611528</v>
      </c>
      <c r="I119" s="14"/>
      <c r="J119" s="21">
        <f>IF(H$12=0,0,H119/H$12)</f>
        <v>-2.1609611362961991</v>
      </c>
      <c r="K119" s="16"/>
      <c r="L119" s="20">
        <f>+D119-H119</f>
        <v>736.79541761150904</v>
      </c>
      <c r="M119" s="16"/>
      <c r="N119" s="21">
        <f>IF(H119=0,0,L119/H119)</f>
        <v>-1.8363616831143546E-2</v>
      </c>
      <c r="O119" s="28"/>
      <c r="P119" s="20">
        <f>+P54-P56+P114</f>
        <v>468957.33999999944</v>
      </c>
      <c r="Q119" s="14"/>
      <c r="R119" s="21">
        <f>IF(P$12=0,0,P119/P$12)</f>
        <v>0.24974383750283694</v>
      </c>
      <c r="S119" s="14"/>
      <c r="T119" s="20">
        <f>+T54-T56+T114</f>
        <v>498431.14325185004</v>
      </c>
      <c r="U119" s="14"/>
      <c r="V119" s="21">
        <f>IF(T$12=0,0,T119/T$12)</f>
        <v>0.16843123516581535</v>
      </c>
      <c r="W119" s="16"/>
      <c r="X119" s="20">
        <f>+P119-T119</f>
        <v>-29473.803251850593</v>
      </c>
      <c r="Y119" s="16"/>
      <c r="Z119" s="21">
        <f>IF(T119=0,0,X119/T119)</f>
        <v>-5.9133149384603977E-2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128</v>
      </c>
      <c r="C121" s="10"/>
      <c r="D121" s="4">
        <v>17439.740000000002</v>
      </c>
      <c r="E121" s="4"/>
      <c r="F121" s="12">
        <f>IF(D$12=0,0,D121/D$12)</f>
        <v>1.4931348165017835</v>
      </c>
      <c r="G121" s="4"/>
      <c r="H121" s="4">
        <v>17578</v>
      </c>
      <c r="I121" s="4"/>
      <c r="J121" s="12">
        <f>IF(H$12=0,0,H121/H$12)</f>
        <v>0.94673345182312707</v>
      </c>
      <c r="K121" s="4"/>
      <c r="L121" s="4">
        <f>+D121-H121</f>
        <v>-138.2599999999984</v>
      </c>
      <c r="M121" s="4"/>
      <c r="N121" s="12">
        <f>IF(H121=0,0,L121/H121)</f>
        <v>-7.8655137103196271E-3</v>
      </c>
      <c r="O121" s="10"/>
      <c r="P121" s="4">
        <v>386989.03</v>
      </c>
      <c r="Q121" s="4"/>
      <c r="R121" s="12">
        <f>IF(P$12=0,0,P121/P$12)</f>
        <v>0.20609150807555462</v>
      </c>
      <c r="S121" s="4"/>
      <c r="T121" s="4">
        <v>523315</v>
      </c>
      <c r="U121" s="4"/>
      <c r="V121" s="12">
        <f>IF(T$12=0,0,T121/T$12)</f>
        <v>0.1768400570954321</v>
      </c>
      <c r="W121" s="4"/>
      <c r="X121" s="4">
        <f>+P121-T121</f>
        <v>-136325.96999999997</v>
      </c>
      <c r="Y121" s="4"/>
      <c r="Z121" s="12">
        <f>IF(T121=0,0,X121/T121)</f>
        <v>-0.26050461003410941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126</v>
      </c>
      <c r="C123" s="29"/>
      <c r="D123" s="34">
        <f>+D119-D121</f>
        <v>-56825.510000000024</v>
      </c>
      <c r="E123" s="14"/>
      <c r="F123" s="30">
        <f>IF(D$12=0,0,D123/D$12)</f>
        <v>-4.8652186011070286</v>
      </c>
      <c r="G123" s="14"/>
      <c r="H123" s="34">
        <f>+H119-H121</f>
        <v>-57700.565417611528</v>
      </c>
      <c r="I123" s="14"/>
      <c r="J123" s="30">
        <f>IF(H$12=0,0,H123/H$12)</f>
        <v>-3.1076945881193261</v>
      </c>
      <c r="K123" s="16"/>
      <c r="L123" s="34">
        <f>D123-H123</f>
        <v>875.0554176115038</v>
      </c>
      <c r="M123" s="16"/>
      <c r="N123" s="30">
        <f>IF(H123=0,0,L123/H123)</f>
        <v>-1.5165456547578594E-2</v>
      </c>
      <c r="O123" s="28"/>
      <c r="P123" s="34">
        <f>+P119-P121</f>
        <v>81968.309999999416</v>
      </c>
      <c r="Q123" s="14"/>
      <c r="R123" s="30">
        <f>IF(P$12=0,0,P123/P$12)</f>
        <v>4.3652329427282324E-2</v>
      </c>
      <c r="S123" s="14"/>
      <c r="T123" s="34">
        <f>+T119-T121</f>
        <v>-24883.856748149963</v>
      </c>
      <c r="U123" s="14"/>
      <c r="V123" s="30">
        <f>IF(T$12=0,0,T123/T$12)</f>
        <v>-8.4088219296167555E-3</v>
      </c>
      <c r="W123" s="16"/>
      <c r="X123" s="34">
        <f>P123-T123</f>
        <v>106852.16674814938</v>
      </c>
      <c r="Y123" s="16"/>
      <c r="Z123" s="30">
        <f>IF(T123=0,0,X123/T123)</f>
        <v>-4.2940356002529034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294</v>
      </c>
      <c r="C126" s="29"/>
      <c r="D126" s="31">
        <f>SUM(D123:D125)</f>
        <v>-56825.510000000024</v>
      </c>
      <c r="E126" s="14"/>
      <c r="F126" s="35">
        <f>IF(D$12=0,0,D126/D$12)</f>
        <v>-4.8652186011070286</v>
      </c>
      <c r="G126" s="14"/>
      <c r="H126" s="31">
        <f>SUM(H123:H125)</f>
        <v>-57700.565417611528</v>
      </c>
      <c r="I126" s="14"/>
      <c r="J126" s="35">
        <f>IF(H$12=0,0,H126/H$12)</f>
        <v>-3.1076945881193261</v>
      </c>
      <c r="K126" s="16"/>
      <c r="L126" s="31">
        <f>+D126-H126</f>
        <v>875.0554176115038</v>
      </c>
      <c r="M126" s="16"/>
      <c r="N126" s="35">
        <f>IF(H126=0,0,L126/H126)</f>
        <v>-1.5165456547578594E-2</v>
      </c>
      <c r="O126" s="28"/>
      <c r="P126" s="31">
        <f>SUM(P123:P125)</f>
        <v>81968.309999999416</v>
      </c>
      <c r="Q126" s="14"/>
      <c r="R126" s="35">
        <f>IF(P$12=0,0,P126/P$12)</f>
        <v>4.3652329427282324E-2</v>
      </c>
      <c r="S126" s="14"/>
      <c r="T126" s="31">
        <f>SUM(T123:T125)</f>
        <v>-24883.856748149963</v>
      </c>
      <c r="U126" s="14"/>
      <c r="V126" s="35">
        <f>IF(T$12=0,0,T126/T$12)</f>
        <v>-8.4088219296167555E-3</v>
      </c>
      <c r="W126" s="16"/>
      <c r="X126" s="31">
        <f>+P126-T126</f>
        <v>106852.16674814938</v>
      </c>
      <c r="Y126" s="16"/>
      <c r="Z126" s="35">
        <f>IF(T126=0,0,X126/T126)</f>
        <v>-4.2940356002529034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6">
        <v>44295.961797766206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3" t="s">
        <v>56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4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3314.99</v>
      </c>
      <c r="E12" s="4"/>
      <c r="F12" s="12"/>
      <c r="G12" s="4"/>
      <c r="H12" s="4">
        <f>SUM(OSRRefH13x_0)</f>
        <v>3530</v>
      </c>
      <c r="I12" s="4"/>
      <c r="J12" s="12"/>
      <c r="K12" s="4"/>
      <c r="L12" s="4">
        <f t="shared" ref="L12:L16" si="0">+D12-H12</f>
        <v>-215.01000000000022</v>
      </c>
      <c r="M12" s="4"/>
      <c r="N12" s="12">
        <f t="shared" ref="N12:N16" si="1">IF(H12=0,0,L12/H12)</f>
        <v>-6.0909348441926407E-2</v>
      </c>
      <c r="O12" s="10"/>
      <c r="P12" s="4">
        <f>SUM(OSRRefP13x_0)</f>
        <v>776231.99</v>
      </c>
      <c r="Q12" s="4"/>
      <c r="R12" s="12"/>
      <c r="S12" s="4"/>
      <c r="T12" s="4">
        <f>SUM(OSRRefT13x_0)</f>
        <v>1415973</v>
      </c>
      <c r="U12" s="4"/>
      <c r="V12" s="12"/>
      <c r="W12" s="4"/>
      <c r="X12" s="4">
        <f t="shared" ref="X12:X16" si="2">+P12-T12</f>
        <v>-639741.01</v>
      </c>
      <c r="Y12" s="4"/>
      <c r="Z12" s="12">
        <f t="shared" ref="Z12:Z16" si="3">IF(T12=0,0,X12/T12)</f>
        <v>-0.45180311347744628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3530</v>
      </c>
      <c r="I13" s="2"/>
      <c r="J13" s="19"/>
      <c r="K13" s="2"/>
      <c r="L13" s="2">
        <f t="shared" si="0"/>
        <v>-3530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1415973</v>
      </c>
      <c r="U13" s="2"/>
      <c r="V13" s="19"/>
      <c r="W13" s="2"/>
      <c r="X13" s="2">
        <f t="shared" si="2"/>
        <v>-1415973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--747</f>
        <v>747</v>
      </c>
      <c r="E14" s="2"/>
      <c r="F14" s="19"/>
      <c r="G14" s="2"/>
      <c r="H14" s="2"/>
      <c r="I14" s="2"/>
      <c r="J14" s="19"/>
      <c r="K14" s="2"/>
      <c r="L14" s="2">
        <f t="shared" si="0"/>
        <v>747</v>
      </c>
      <c r="M14" s="2"/>
      <c r="N14" s="19">
        <f t="shared" si="1"/>
        <v>0</v>
      </c>
      <c r="O14" s="11"/>
      <c r="P14" s="2">
        <f>--263452.93</f>
        <v>263452.93</v>
      </c>
      <c r="Q14" s="2"/>
      <c r="R14" s="19"/>
      <c r="S14" s="2"/>
      <c r="T14" s="2"/>
      <c r="U14" s="2"/>
      <c r="V14" s="19"/>
      <c r="W14" s="2"/>
      <c r="X14" s="2">
        <f t="shared" si="2"/>
        <v>263452.93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--517.45</f>
        <v>517.45000000000005</v>
      </c>
      <c r="E15" s="2"/>
      <c r="F15" s="19"/>
      <c r="G15" s="2"/>
      <c r="H15" s="2"/>
      <c r="I15" s="2"/>
      <c r="J15" s="19"/>
      <c r="K15" s="2"/>
      <c r="L15" s="2">
        <f t="shared" si="0"/>
        <v>517.45000000000005</v>
      </c>
      <c r="M15" s="2"/>
      <c r="N15" s="19">
        <f t="shared" si="1"/>
        <v>0</v>
      </c>
      <c r="O15" s="11"/>
      <c r="P15" s="2">
        <f>--226554.96</f>
        <v>226554.96</v>
      </c>
      <c r="Q15" s="2"/>
      <c r="R15" s="19"/>
      <c r="S15" s="2"/>
      <c r="T15" s="2"/>
      <c r="U15" s="2"/>
      <c r="V15" s="19"/>
      <c r="W15" s="2"/>
      <c r="X15" s="2">
        <f t="shared" si="2"/>
        <v>226554.96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--2050.54</f>
        <v>2050.54</v>
      </c>
      <c r="E16" s="2"/>
      <c r="F16" s="19"/>
      <c r="G16" s="2"/>
      <c r="H16" s="2"/>
      <c r="I16" s="2"/>
      <c r="J16" s="19"/>
      <c r="K16" s="2"/>
      <c r="L16" s="2">
        <f t="shared" si="0"/>
        <v>2050.54</v>
      </c>
      <c r="M16" s="2"/>
      <c r="N16" s="19">
        <f t="shared" si="1"/>
        <v>0</v>
      </c>
      <c r="O16" s="11"/>
      <c r="P16" s="2">
        <f>--286224.1</f>
        <v>286224.09999999998</v>
      </c>
      <c r="Q16" s="2"/>
      <c r="R16" s="19"/>
      <c r="S16" s="2"/>
      <c r="T16" s="2"/>
      <c r="U16" s="2"/>
      <c r="V16" s="19"/>
      <c r="W16" s="2"/>
      <c r="X16" s="2">
        <f t="shared" si="2"/>
        <v>286224.09999999998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257</v>
      </c>
      <c r="C18" s="10"/>
      <c r="D18" s="4">
        <f>SUM(OSRRefD16x_0)</f>
        <v>823.37</v>
      </c>
      <c r="E18" s="4"/>
      <c r="F18" s="12">
        <f t="shared" ref="F18:F21" si="4">IF(D$12=0,0,D18/D$12)</f>
        <v>0.24837782316085419</v>
      </c>
      <c r="G18" s="4"/>
      <c r="H18" s="4">
        <f>SUM(OSRRefH16x_0)</f>
        <v>2559</v>
      </c>
      <c r="I18" s="4"/>
      <c r="J18" s="12">
        <f t="shared" ref="J18:J21" si="5">IF(H$12=0,0,H18/H$12)</f>
        <v>0.72492917847025495</v>
      </c>
      <c r="K18" s="4"/>
      <c r="L18" s="4">
        <f t="shared" ref="L18:L21" si="6">+D18-H18</f>
        <v>-1735.63</v>
      </c>
      <c r="M18" s="4"/>
      <c r="N18" s="12">
        <f t="shared" ref="N18:N21" si="7">IF(H18=0,0,L18/H18)</f>
        <v>-0.67824540836264169</v>
      </c>
      <c r="O18" s="10"/>
      <c r="P18" s="4">
        <f>SUM(OSRRefP16x_0)</f>
        <v>542922.72</v>
      </c>
      <c r="Q18" s="4"/>
      <c r="R18" s="12">
        <f t="shared" ref="R18:R21" si="8">IF(P$12=0,0,P18/P$12)</f>
        <v>0.69943358041711212</v>
      </c>
      <c r="S18" s="4"/>
      <c r="T18" s="4">
        <f>SUM(OSRRefT16x_0)</f>
        <v>1029426</v>
      </c>
      <c r="U18" s="4"/>
      <c r="V18" s="12">
        <f t="shared" ref="V18:V21" si="9">IF(T$12=0,0,T18/T$12)</f>
        <v>0.72700962518353107</v>
      </c>
      <c r="W18" s="4"/>
      <c r="X18" s="4">
        <f t="shared" ref="X18:X21" si="10">+P18-T18</f>
        <v>-486503.28</v>
      </c>
      <c r="Y18" s="4"/>
      <c r="Z18" s="12">
        <f t="shared" ref="Z18:Z21" si="11">IF(T18=0,0,X18/T18)</f>
        <v>-0.47259665094916975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2559</v>
      </c>
      <c r="I19" s="2"/>
      <c r="J19" s="19">
        <f t="shared" si="5"/>
        <v>0.72492917847025495</v>
      </c>
      <c r="K19" s="2"/>
      <c r="L19" s="2">
        <f t="shared" si="6"/>
        <v>-2559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1029426</v>
      </c>
      <c r="U19" s="2"/>
      <c r="V19" s="19">
        <f t="shared" si="9"/>
        <v>0.72700962518353107</v>
      </c>
      <c r="W19" s="2"/>
      <c r="X19" s="2">
        <f t="shared" si="10"/>
        <v>-1029426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225.24</v>
      </c>
      <c r="E20" s="2"/>
      <c r="F20" s="19">
        <f t="shared" si="4"/>
        <v>6.7945906322492686E-2</v>
      </c>
      <c r="G20" s="2"/>
      <c r="H20" s="2"/>
      <c r="I20" s="2"/>
      <c r="J20" s="19">
        <f t="shared" si="5"/>
        <v>0</v>
      </c>
      <c r="K20" s="2"/>
      <c r="L20" s="2">
        <f t="shared" si="6"/>
        <v>225.24</v>
      </c>
      <c r="M20" s="2"/>
      <c r="N20" s="19">
        <f t="shared" si="7"/>
        <v>0</v>
      </c>
      <c r="O20" s="11"/>
      <c r="P20" s="2">
        <v>300430.14</v>
      </c>
      <c r="Q20" s="2"/>
      <c r="R20" s="19">
        <f t="shared" si="8"/>
        <v>0.38703653530177234</v>
      </c>
      <c r="S20" s="2"/>
      <c r="T20" s="2"/>
      <c r="U20" s="2"/>
      <c r="V20" s="19">
        <f t="shared" si="9"/>
        <v>0</v>
      </c>
      <c r="W20" s="2"/>
      <c r="X20" s="2">
        <f t="shared" si="10"/>
        <v>300430.14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598.13</v>
      </c>
      <c r="E21" s="2"/>
      <c r="F21" s="19">
        <f t="shared" si="4"/>
        <v>0.18043191683836152</v>
      </c>
      <c r="G21" s="2"/>
      <c r="H21" s="2"/>
      <c r="I21" s="2"/>
      <c r="J21" s="19">
        <f t="shared" si="5"/>
        <v>0</v>
      </c>
      <c r="K21" s="2"/>
      <c r="L21" s="2">
        <f t="shared" si="6"/>
        <v>598.13</v>
      </c>
      <c r="M21" s="2"/>
      <c r="N21" s="19">
        <f t="shared" si="7"/>
        <v>0</v>
      </c>
      <c r="O21" s="11"/>
      <c r="P21" s="2">
        <v>242492.58</v>
      </c>
      <c r="Q21" s="2"/>
      <c r="R21" s="19">
        <f t="shared" si="8"/>
        <v>0.31239704511533978</v>
      </c>
      <c r="S21" s="2"/>
      <c r="T21" s="2"/>
      <c r="U21" s="2"/>
      <c r="V21" s="19">
        <f t="shared" si="9"/>
        <v>0</v>
      </c>
      <c r="W21" s="2"/>
      <c r="X21" s="2">
        <f t="shared" si="10"/>
        <v>242492.58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D12-D18</f>
        <v>2491.62</v>
      </c>
      <c r="E23" s="14"/>
      <c r="F23" s="21">
        <f>IF(D$12=0,0,D23/D$12)</f>
        <v>0.75162217683914578</v>
      </c>
      <c r="G23" s="14"/>
      <c r="H23" s="20">
        <f>H12-H18</f>
        <v>971</v>
      </c>
      <c r="I23" s="14"/>
      <c r="J23" s="21">
        <f>IF(H$12=0,0,H23/H$12)</f>
        <v>0.27507082152974505</v>
      </c>
      <c r="K23" s="16"/>
      <c r="L23" s="20">
        <f>+D23-H23</f>
        <v>1520.62</v>
      </c>
      <c r="M23" s="16"/>
      <c r="N23" s="21">
        <f>IF(H23=0,0,L23/H23)</f>
        <v>1.5660350154479916</v>
      </c>
      <c r="O23" s="28"/>
      <c r="P23" s="20">
        <f>P12-P18</f>
        <v>233309.27000000002</v>
      </c>
      <c r="Q23" s="14"/>
      <c r="R23" s="21">
        <f>IF(P$12=0,0,P23/P$12)</f>
        <v>0.30056641958288788</v>
      </c>
      <c r="S23" s="14"/>
      <c r="T23" s="20">
        <f>T12-T18</f>
        <v>386547</v>
      </c>
      <c r="U23" s="14"/>
      <c r="V23" s="21">
        <f>IF(T$12=0,0,T23/T$12)</f>
        <v>0.27299037481646898</v>
      </c>
      <c r="W23" s="16"/>
      <c r="X23" s="20">
        <f>+P23-T23</f>
        <v>-153237.72999999998</v>
      </c>
      <c r="Y23" s="16"/>
      <c r="Z23" s="21">
        <f>IF(T23=0,0,X23/T23)</f>
        <v>-0.39642716150946711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0</v>
      </c>
      <c r="E25" s="22"/>
      <c r="F25" s="32">
        <f t="shared" ref="F25:F34" si="12">IF(D$12=0,0,D25/D$12)</f>
        <v>0</v>
      </c>
      <c r="G25" s="22"/>
      <c r="H25" s="22">
        <f>SUM(OSRRefH22x_0)</f>
        <v>0</v>
      </c>
      <c r="I25" s="22"/>
      <c r="J25" s="32">
        <f t="shared" ref="J25:J34" si="13">IF(H$12=0,0,H25/H$12)</f>
        <v>0</v>
      </c>
      <c r="K25" s="4"/>
      <c r="L25" s="22">
        <f t="shared" ref="L25:L34" si="14">+D25-H25</f>
        <v>0</v>
      </c>
      <c r="M25" s="4"/>
      <c r="N25" s="32">
        <f t="shared" ref="N25:N34" si="15">IF(H25=0,0,L25/H25)</f>
        <v>0</v>
      </c>
      <c r="O25" s="10"/>
      <c r="P25" s="22">
        <f>SUM(OSRRefP22x_0)</f>
        <v>0</v>
      </c>
      <c r="Q25" s="22"/>
      <c r="R25" s="32">
        <f t="shared" ref="R25:R34" si="16">IF(P$12=0,0,P25/P$12)</f>
        <v>0</v>
      </c>
      <c r="S25" s="22"/>
      <c r="T25" s="22">
        <f>SUM(OSRRefT22x_0)</f>
        <v>0</v>
      </c>
      <c r="U25" s="22"/>
      <c r="V25" s="32">
        <f t="shared" ref="V25:V34" si="17">IF(T$12=0,0,T25/T$12)</f>
        <v>0</v>
      </c>
      <c r="W25" s="4"/>
      <c r="X25" s="22">
        <f t="shared" ref="X25:X34" si="18">+P25-T25</f>
        <v>0</v>
      </c>
      <c r="Y25" s="4"/>
      <c r="Z25" s="32">
        <f t="shared" ref="Z25:Z34" si="19">IF(T25=0,0,X25/T25)</f>
        <v>0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3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59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8" t="s">
        <v>293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9" t="s">
        <v>277</v>
      </c>
      <c r="C49" s="29"/>
      <c r="D49" s="20">
        <f>+D23-D25+D47</f>
        <v>2491.62</v>
      </c>
      <c r="E49" s="14"/>
      <c r="F49" s="21">
        <f>IF(D$12=0,0,D49/D$12)</f>
        <v>0.75162217683914578</v>
      </c>
      <c r="G49" s="14"/>
      <c r="H49" s="20">
        <f>+H23-H25+H47</f>
        <v>971</v>
      </c>
      <c r="I49" s="14"/>
      <c r="J49" s="21">
        <f>IF(H$12=0,0,H49/H$12)</f>
        <v>0.27507082152974505</v>
      </c>
      <c r="K49" s="16"/>
      <c r="L49" s="20">
        <f>+D49-H49</f>
        <v>1520.62</v>
      </c>
      <c r="M49" s="16"/>
      <c r="N49" s="21">
        <f>IF(H49=0,0,L49/H49)</f>
        <v>1.5660350154479916</v>
      </c>
      <c r="O49" s="28"/>
      <c r="P49" s="20">
        <f>+P23-P25+P47</f>
        <v>233309.27000000002</v>
      </c>
      <c r="Q49" s="14"/>
      <c r="R49" s="21">
        <f>IF(P$12=0,0,P49/P$12)</f>
        <v>0.30056641958288788</v>
      </c>
      <c r="S49" s="14"/>
      <c r="T49" s="20">
        <f>+T23-T25+T47</f>
        <v>386547</v>
      </c>
      <c r="U49" s="14"/>
      <c r="V49" s="21">
        <f>IF(T$12=0,0,T49/T$12)</f>
        <v>0.27299037481646898</v>
      </c>
      <c r="W49" s="16"/>
      <c r="X49" s="20">
        <f>+P49-T49</f>
        <v>-153237.72999999998</v>
      </c>
      <c r="Y49" s="16"/>
      <c r="Z49" s="21">
        <f>IF(T49=0,0,X49/T49)</f>
        <v>-0.39642716150946711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128</v>
      </c>
      <c r="C51" s="10"/>
      <c r="D51" s="4">
        <v>6909.61</v>
      </c>
      <c r="E51" s="4"/>
      <c r="F51" s="12">
        <f>IF(D$12=0,0,D51/D$12)</f>
        <v>2.0843531956355825</v>
      </c>
      <c r="G51" s="4"/>
      <c r="H51" s="4">
        <v>7490</v>
      </c>
      <c r="I51" s="4"/>
      <c r="J51" s="12">
        <f>IF(H$12=0,0,H51/H$12)</f>
        <v>2.1218130311614729</v>
      </c>
      <c r="K51" s="4"/>
      <c r="L51" s="4">
        <f>+D51-H51</f>
        <v>-580.39000000000033</v>
      </c>
      <c r="M51" s="4"/>
      <c r="N51" s="12">
        <f>IF(H51=0,0,L51/H51)</f>
        <v>-7.7488651535380551E-2</v>
      </c>
      <c r="O51" s="10"/>
      <c r="P51" s="4">
        <v>159974.82</v>
      </c>
      <c r="Q51" s="4"/>
      <c r="R51" s="12">
        <f>IF(P$12=0,0,P51/P$12)</f>
        <v>0.20609150622612193</v>
      </c>
      <c r="S51" s="4"/>
      <c r="T51" s="4">
        <v>250401</v>
      </c>
      <c r="U51" s="4"/>
      <c r="V51" s="12">
        <f>IF(T$12=0,0,T51/T$12)</f>
        <v>0.17684023636043908</v>
      </c>
      <c r="W51" s="4"/>
      <c r="X51" s="4">
        <f>+P51-T51</f>
        <v>-90426.18</v>
      </c>
      <c r="Y51" s="4"/>
      <c r="Z51" s="12">
        <f>IF(T51=0,0,X51/T51)</f>
        <v>-0.36112547473851941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126</v>
      </c>
      <c r="C53" s="29"/>
      <c r="D53" s="34">
        <f>+D49-D51</f>
        <v>-4417.99</v>
      </c>
      <c r="E53" s="14"/>
      <c r="F53" s="30">
        <f>IF(D$12=0,0,D53/D$12)</f>
        <v>-1.3327310187964367</v>
      </c>
      <c r="G53" s="14"/>
      <c r="H53" s="34">
        <f>+H49-H51</f>
        <v>-6519</v>
      </c>
      <c r="I53" s="14"/>
      <c r="J53" s="30">
        <f>IF(H$12=0,0,H53/H$12)</f>
        <v>-1.8467422096317281</v>
      </c>
      <c r="K53" s="16"/>
      <c r="L53" s="34">
        <f>D53-H53</f>
        <v>2101.0100000000002</v>
      </c>
      <c r="M53" s="16"/>
      <c r="N53" s="30">
        <f>IF(H53=0,0,L53/H53)</f>
        <v>-0.32229022856266304</v>
      </c>
      <c r="O53" s="28"/>
      <c r="P53" s="34">
        <f>+P49-P51</f>
        <v>73334.450000000012</v>
      </c>
      <c r="Q53" s="14"/>
      <c r="R53" s="30">
        <f>IF(P$12=0,0,P53/P$12)</f>
        <v>9.4474913356765944E-2</v>
      </c>
      <c r="S53" s="14"/>
      <c r="T53" s="34">
        <f>+T49-T51</f>
        <v>136146</v>
      </c>
      <c r="U53" s="14"/>
      <c r="V53" s="30">
        <f>IF(T$12=0,0,T53/T$12)</f>
        <v>9.6150138456029877E-2</v>
      </c>
      <c r="W53" s="16"/>
      <c r="X53" s="34">
        <f>P53-T53</f>
        <v>-62811.549999999988</v>
      </c>
      <c r="Y53" s="16"/>
      <c r="Z53" s="30">
        <f>IF(T53=0,0,X53/T53)</f>
        <v>-0.46135435488372767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294</v>
      </c>
      <c r="C56" s="29"/>
      <c r="D56" s="31">
        <f>SUM(D53:D55)</f>
        <v>-4417.99</v>
      </c>
      <c r="E56" s="14"/>
      <c r="F56" s="35">
        <f>IF(D$12=0,0,D56/D$12)</f>
        <v>-1.3327310187964367</v>
      </c>
      <c r="G56" s="14"/>
      <c r="H56" s="31">
        <f>SUM(H53:H55)</f>
        <v>-6519</v>
      </c>
      <c r="I56" s="14"/>
      <c r="J56" s="35">
        <f>IF(H$12=0,0,H56/H$12)</f>
        <v>-1.8467422096317281</v>
      </c>
      <c r="K56" s="16"/>
      <c r="L56" s="31">
        <f>+D56-H56</f>
        <v>2101.0100000000002</v>
      </c>
      <c r="M56" s="16"/>
      <c r="N56" s="35">
        <f>IF(H56=0,0,L56/H56)</f>
        <v>-0.32229022856266304</v>
      </c>
      <c r="O56" s="28"/>
      <c r="P56" s="31">
        <f>SUM(P53:P55)</f>
        <v>73334.450000000012</v>
      </c>
      <c r="Q56" s="14"/>
      <c r="R56" s="35">
        <f>IF(P$12=0,0,P56/P$12)</f>
        <v>9.4474913356765944E-2</v>
      </c>
      <c r="S56" s="14"/>
      <c r="T56" s="31">
        <f>SUM(T53:T55)</f>
        <v>136146</v>
      </c>
      <c r="U56" s="14"/>
      <c r="V56" s="35">
        <f>IF(T$12=0,0,T56/T$12)</f>
        <v>9.6150138456029877E-2</v>
      </c>
      <c r="W56" s="16"/>
      <c r="X56" s="31">
        <f>+P56-T56</f>
        <v>-62811.549999999988</v>
      </c>
      <c r="Y56" s="16"/>
      <c r="Z56" s="35">
        <f>IF(T56=0,0,X56/T56)</f>
        <v>-0.46135435488372767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6">
        <v>44295.961797766206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3" t="s">
        <v>56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166752.73000000001</v>
      </c>
      <c r="E12" s="4"/>
      <c r="F12" s="12"/>
      <c r="G12" s="4"/>
      <c r="H12" s="4">
        <f>SUM(OSRRefH13x_0)</f>
        <v>339775</v>
      </c>
      <c r="I12" s="4"/>
      <c r="J12" s="12"/>
      <c r="K12" s="4"/>
      <c r="L12" s="4">
        <f t="shared" ref="L12:L50" si="0">+D12-H12</f>
        <v>-173022.27</v>
      </c>
      <c r="M12" s="4"/>
      <c r="N12" s="12">
        <f t="shared" ref="N12:N50" si="1">IF(H12=0,0,L12/H12)</f>
        <v>-0.50922601721727612</v>
      </c>
      <c r="O12" s="10"/>
      <c r="P12" s="4">
        <f>SUM(OSRRefP13x_0)</f>
        <v>1477880.8700000003</v>
      </c>
      <c r="Q12" s="4"/>
      <c r="R12" s="12"/>
      <c r="S12" s="4"/>
      <c r="T12" s="4">
        <f>SUM(OSRRefT13x_0)</f>
        <v>2911517</v>
      </c>
      <c r="U12" s="4"/>
      <c r="V12" s="12"/>
      <c r="W12" s="4"/>
      <c r="X12" s="4">
        <f t="shared" ref="X12:X50" si="2">+P12-T12</f>
        <v>-1433636.1299999997</v>
      </c>
      <c r="Y12" s="4"/>
      <c r="Z12" s="12">
        <f t="shared" ref="Z12:Z50" si="3">IF(T12=0,0,X12/T12)</f>
        <v>-0.49240177199720958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-11260.63</f>
        <v>-11260.63</v>
      </c>
      <c r="E13" s="2"/>
      <c r="F13" s="19"/>
      <c r="G13" s="2"/>
      <c r="H13" s="2">
        <v>339775</v>
      </c>
      <c r="I13" s="2"/>
      <c r="J13" s="19"/>
      <c r="K13" s="2"/>
      <c r="L13" s="2">
        <f t="shared" si="0"/>
        <v>-351035.63</v>
      </c>
      <c r="M13" s="2"/>
      <c r="N13" s="19">
        <f t="shared" si="1"/>
        <v>-1.0331414318298875</v>
      </c>
      <c r="O13" s="11"/>
      <c r="P13" s="2">
        <f>-110458.73</f>
        <v>-110458.73</v>
      </c>
      <c r="Q13" s="2"/>
      <c r="R13" s="19"/>
      <c r="S13" s="2"/>
      <c r="T13" s="2">
        <v>2911517</v>
      </c>
      <c r="U13" s="2"/>
      <c r="V13" s="19"/>
      <c r="W13" s="2"/>
      <c r="X13" s="2">
        <f t="shared" si="2"/>
        <v>-3021975.73</v>
      </c>
      <c r="Y13" s="2"/>
      <c r="Z13" s="19">
        <f t="shared" si="3"/>
        <v>-1.0379385488733193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--16.37</f>
        <v>16.37</v>
      </c>
      <c r="E14" s="2"/>
      <c r="F14" s="19"/>
      <c r="G14" s="2"/>
      <c r="H14" s="2"/>
      <c r="I14" s="2"/>
      <c r="J14" s="19"/>
      <c r="K14" s="2"/>
      <c r="L14" s="2">
        <f t="shared" si="0"/>
        <v>16.37</v>
      </c>
      <c r="M14" s="2"/>
      <c r="N14" s="19">
        <f t="shared" si="1"/>
        <v>0</v>
      </c>
      <c r="O14" s="11"/>
      <c r="P14" s="2">
        <f>--447.24</f>
        <v>447.24</v>
      </c>
      <c r="Q14" s="2"/>
      <c r="R14" s="19"/>
      <c r="S14" s="2"/>
      <c r="T14" s="2"/>
      <c r="U14" s="2"/>
      <c r="V14" s="19"/>
      <c r="W14" s="2"/>
      <c r="X14" s="2">
        <f t="shared" si="2"/>
        <v>447.24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--3028</f>
        <v>3028</v>
      </c>
      <c r="E15" s="2"/>
      <c r="F15" s="19"/>
      <c r="G15" s="2"/>
      <c r="H15" s="2"/>
      <c r="I15" s="2"/>
      <c r="J15" s="19"/>
      <c r="K15" s="2"/>
      <c r="L15" s="2">
        <f t="shared" si="0"/>
        <v>3028</v>
      </c>
      <c r="M15" s="2"/>
      <c r="N15" s="19">
        <f t="shared" si="1"/>
        <v>0</v>
      </c>
      <c r="O15" s="11"/>
      <c r="P15" s="2">
        <f>--49522</f>
        <v>49522</v>
      </c>
      <c r="Q15" s="2"/>
      <c r="R15" s="19"/>
      <c r="S15" s="2"/>
      <c r="T15" s="2"/>
      <c r="U15" s="2"/>
      <c r="V15" s="19"/>
      <c r="W15" s="2"/>
      <c r="X15" s="2">
        <f t="shared" si="2"/>
        <v>49522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--3372.76</f>
        <v>3372.76</v>
      </c>
      <c r="E16" s="2"/>
      <c r="F16" s="19"/>
      <c r="G16" s="2"/>
      <c r="H16" s="2"/>
      <c r="I16" s="2"/>
      <c r="J16" s="19"/>
      <c r="K16" s="2"/>
      <c r="L16" s="2">
        <f t="shared" si="0"/>
        <v>3372.76</v>
      </c>
      <c r="M16" s="2"/>
      <c r="N16" s="19">
        <f t="shared" si="1"/>
        <v>0</v>
      </c>
      <c r="O16" s="11"/>
      <c r="P16" s="2">
        <f>--31770.33</f>
        <v>31770.33</v>
      </c>
      <c r="Q16" s="2"/>
      <c r="R16" s="19"/>
      <c r="S16" s="2"/>
      <c r="T16" s="2"/>
      <c r="U16" s="2"/>
      <c r="V16" s="19"/>
      <c r="W16" s="2"/>
      <c r="X16" s="2">
        <f t="shared" si="2"/>
        <v>31770.33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--434.03</f>
        <v>434.03</v>
      </c>
      <c r="E17" s="2"/>
      <c r="F17" s="19"/>
      <c r="G17" s="2"/>
      <c r="H17" s="2"/>
      <c r="I17" s="2"/>
      <c r="J17" s="19"/>
      <c r="K17" s="2"/>
      <c r="L17" s="2">
        <f t="shared" si="0"/>
        <v>434.03</v>
      </c>
      <c r="M17" s="2"/>
      <c r="N17" s="19">
        <f t="shared" si="1"/>
        <v>0</v>
      </c>
      <c r="O17" s="11"/>
      <c r="P17" s="2">
        <f>--3240.32</f>
        <v>3240.32</v>
      </c>
      <c r="Q17" s="2"/>
      <c r="R17" s="19"/>
      <c r="S17" s="2"/>
      <c r="T17" s="2"/>
      <c r="U17" s="2"/>
      <c r="V17" s="19"/>
      <c r="W17" s="2"/>
      <c r="X17" s="2">
        <f t="shared" si="2"/>
        <v>3240.32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--82653.17</f>
        <v>82653.17</v>
      </c>
      <c r="E19" s="2"/>
      <c r="F19" s="19"/>
      <c r="G19" s="2"/>
      <c r="H19" s="2"/>
      <c r="I19" s="2"/>
      <c r="J19" s="19"/>
      <c r="K19" s="2"/>
      <c r="L19" s="2">
        <f t="shared" si="0"/>
        <v>82653.17</v>
      </c>
      <c r="M19" s="2"/>
      <c r="N19" s="19">
        <f t="shared" si="1"/>
        <v>0</v>
      </c>
      <c r="O19" s="11"/>
      <c r="P19" s="2">
        <f>--754001.15</f>
        <v>754001.15</v>
      </c>
      <c r="Q19" s="2"/>
      <c r="R19" s="19"/>
      <c r="S19" s="2"/>
      <c r="T19" s="2"/>
      <c r="U19" s="2"/>
      <c r="V19" s="19"/>
      <c r="W19" s="2"/>
      <c r="X19" s="2">
        <f t="shared" si="2"/>
        <v>754001.15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--47225.72</f>
        <v>47225.72</v>
      </c>
      <c r="E20" s="2"/>
      <c r="F20" s="19"/>
      <c r="G20" s="2"/>
      <c r="H20" s="2"/>
      <c r="I20" s="2"/>
      <c r="J20" s="19"/>
      <c r="K20" s="2"/>
      <c r="L20" s="2">
        <f t="shared" si="0"/>
        <v>47225.72</v>
      </c>
      <c r="M20" s="2"/>
      <c r="N20" s="19">
        <f t="shared" si="1"/>
        <v>0</v>
      </c>
      <c r="O20" s="11"/>
      <c r="P20" s="2">
        <f>--231358.81</f>
        <v>231358.81</v>
      </c>
      <c r="Q20" s="2"/>
      <c r="R20" s="19"/>
      <c r="S20" s="2"/>
      <c r="T20" s="2"/>
      <c r="U20" s="2"/>
      <c r="V20" s="19"/>
      <c r="W20" s="2"/>
      <c r="X20" s="2">
        <f t="shared" si="2"/>
        <v>231358.81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--10381.96</f>
        <v>10381.959999999999</v>
      </c>
      <c r="E21" s="2"/>
      <c r="F21" s="19"/>
      <c r="G21" s="2"/>
      <c r="H21" s="2"/>
      <c r="I21" s="2"/>
      <c r="J21" s="19"/>
      <c r="K21" s="2"/>
      <c r="L21" s="2">
        <f t="shared" si="0"/>
        <v>10381.959999999999</v>
      </c>
      <c r="M21" s="2"/>
      <c r="N21" s="19">
        <f t="shared" si="1"/>
        <v>0</v>
      </c>
      <c r="O21" s="11"/>
      <c r="P21" s="2">
        <f>--74228.25</f>
        <v>74228.25</v>
      </c>
      <c r="Q21" s="2"/>
      <c r="R21" s="19"/>
      <c r="S21" s="2"/>
      <c r="T21" s="2"/>
      <c r="U21" s="2"/>
      <c r="V21" s="19"/>
      <c r="W21" s="2"/>
      <c r="X21" s="2">
        <f t="shared" si="2"/>
        <v>74228.25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--8270.61</f>
        <v>8270.61</v>
      </c>
      <c r="E22" s="2"/>
      <c r="F22" s="19"/>
      <c r="G22" s="2"/>
      <c r="H22" s="2"/>
      <c r="I22" s="2"/>
      <c r="J22" s="19"/>
      <c r="K22" s="2"/>
      <c r="L22" s="2">
        <f t="shared" si="0"/>
        <v>8270.61</v>
      </c>
      <c r="M22" s="2"/>
      <c r="N22" s="19">
        <f t="shared" si="1"/>
        <v>0</v>
      </c>
      <c r="O22" s="11"/>
      <c r="P22" s="2">
        <f>--132383.49</f>
        <v>132383.49</v>
      </c>
      <c r="Q22" s="2"/>
      <c r="R22" s="19"/>
      <c r="S22" s="2"/>
      <c r="T22" s="2"/>
      <c r="U22" s="2"/>
      <c r="V22" s="19"/>
      <c r="W22" s="2"/>
      <c r="X22" s="2">
        <f t="shared" si="2"/>
        <v>132383.49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--1774.45</f>
        <v>1774.45</v>
      </c>
      <c r="E23" s="2"/>
      <c r="F23" s="19"/>
      <c r="G23" s="2"/>
      <c r="H23" s="2"/>
      <c r="I23" s="2"/>
      <c r="J23" s="19"/>
      <c r="K23" s="2"/>
      <c r="L23" s="2">
        <f t="shared" si="0"/>
        <v>1774.45</v>
      </c>
      <c r="M23" s="2"/>
      <c r="N23" s="19">
        <f t="shared" si="1"/>
        <v>0</v>
      </c>
      <c r="O23" s="11"/>
      <c r="P23" s="2">
        <f>--31346.85</f>
        <v>31346.85</v>
      </c>
      <c r="Q23" s="2"/>
      <c r="R23" s="19"/>
      <c r="S23" s="2"/>
      <c r="T23" s="2"/>
      <c r="U23" s="2"/>
      <c r="V23" s="19"/>
      <c r="W23" s="2"/>
      <c r="X23" s="2">
        <f t="shared" si="2"/>
        <v>31346.85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--8707.87</f>
        <v>8707.8700000000008</v>
      </c>
      <c r="E24" s="2"/>
      <c r="F24" s="19"/>
      <c r="G24" s="2"/>
      <c r="H24" s="2"/>
      <c r="I24" s="2"/>
      <c r="J24" s="19"/>
      <c r="K24" s="2"/>
      <c r="L24" s="2">
        <f t="shared" si="0"/>
        <v>8707.8700000000008</v>
      </c>
      <c r="M24" s="2"/>
      <c r="N24" s="19">
        <f t="shared" si="1"/>
        <v>0</v>
      </c>
      <c r="O24" s="11"/>
      <c r="P24" s="2">
        <f>--144197.44</f>
        <v>144197.44</v>
      </c>
      <c r="Q24" s="2"/>
      <c r="R24" s="19"/>
      <c r="S24" s="2"/>
      <c r="T24" s="2"/>
      <c r="U24" s="2"/>
      <c r="V24" s="19"/>
      <c r="W24" s="2"/>
      <c r="X24" s="2">
        <f t="shared" si="2"/>
        <v>144197.44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--389.95</f>
        <v>389.95</v>
      </c>
      <c r="E26" s="2"/>
      <c r="F26" s="19"/>
      <c r="G26" s="2"/>
      <c r="H26" s="2"/>
      <c r="I26" s="2"/>
      <c r="J26" s="19"/>
      <c r="K26" s="2"/>
      <c r="L26" s="2">
        <f t="shared" si="0"/>
        <v>389.95</v>
      </c>
      <c r="M26" s="2"/>
      <c r="N26" s="19">
        <f t="shared" si="1"/>
        <v>0</v>
      </c>
      <c r="O26" s="11"/>
      <c r="P26" s="2">
        <f>--6607.31</f>
        <v>6607.31</v>
      </c>
      <c r="Q26" s="2"/>
      <c r="R26" s="19"/>
      <c r="S26" s="2"/>
      <c r="T26" s="2"/>
      <c r="U26" s="2"/>
      <c r="V26" s="19"/>
      <c r="W26" s="2"/>
      <c r="X26" s="2">
        <f t="shared" si="2"/>
        <v>6607.31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--38.58</f>
        <v>38.58</v>
      </c>
      <c r="Q27" s="2"/>
      <c r="R27" s="19"/>
      <c r="S27" s="2"/>
      <c r="T27" s="2"/>
      <c r="U27" s="2"/>
      <c r="V27" s="19"/>
      <c r="W27" s="2"/>
      <c r="X27" s="2">
        <f t="shared" si="2"/>
        <v>38.58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--829.28</f>
        <v>829.28</v>
      </c>
      <c r="E28" s="2"/>
      <c r="F28" s="19"/>
      <c r="G28" s="2"/>
      <c r="H28" s="2"/>
      <c r="I28" s="2"/>
      <c r="J28" s="19"/>
      <c r="K28" s="2"/>
      <c r="L28" s="2">
        <f t="shared" si="0"/>
        <v>829.28</v>
      </c>
      <c r="M28" s="2"/>
      <c r="N28" s="19">
        <f t="shared" si="1"/>
        <v>0</v>
      </c>
      <c r="O28" s="11"/>
      <c r="P28" s="2">
        <f>--8557.27</f>
        <v>8557.27</v>
      </c>
      <c r="Q28" s="2"/>
      <c r="R28" s="19"/>
      <c r="S28" s="2"/>
      <c r="T28" s="2"/>
      <c r="U28" s="2"/>
      <c r="V28" s="19"/>
      <c r="W28" s="2"/>
      <c r="X28" s="2">
        <f t="shared" si="2"/>
        <v>8557.27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--68.25</f>
        <v>68.25</v>
      </c>
      <c r="Q32" s="2"/>
      <c r="R32" s="19"/>
      <c r="S32" s="2"/>
      <c r="T32" s="2"/>
      <c r="U32" s="2"/>
      <c r="V32" s="19"/>
      <c r="W32" s="2"/>
      <c r="X32" s="2">
        <f t="shared" si="2"/>
        <v>68.25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--16626.41</f>
        <v>16626.41</v>
      </c>
      <c r="E33" s="2"/>
      <c r="F33" s="19"/>
      <c r="G33" s="2"/>
      <c r="H33" s="2"/>
      <c r="I33" s="2"/>
      <c r="J33" s="19"/>
      <c r="K33" s="2"/>
      <c r="L33" s="2">
        <f t="shared" si="0"/>
        <v>16626.41</v>
      </c>
      <c r="M33" s="2"/>
      <c r="N33" s="19">
        <f t="shared" si="1"/>
        <v>0</v>
      </c>
      <c r="O33" s="11"/>
      <c r="P33" s="2">
        <f>--131751.69</f>
        <v>131751.69</v>
      </c>
      <c r="Q33" s="2"/>
      <c r="R33" s="19"/>
      <c r="S33" s="2"/>
      <c r="T33" s="2"/>
      <c r="U33" s="2"/>
      <c r="V33" s="19"/>
      <c r="W33" s="2"/>
      <c r="X33" s="2">
        <f t="shared" si="2"/>
        <v>131751.69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--1055.22</f>
        <v>1055.22</v>
      </c>
      <c r="E34" s="2"/>
      <c r="F34" s="19"/>
      <c r="G34" s="2"/>
      <c r="H34" s="2"/>
      <c r="I34" s="2"/>
      <c r="J34" s="19"/>
      <c r="K34" s="2"/>
      <c r="L34" s="2">
        <f t="shared" si="0"/>
        <v>1055.22</v>
      </c>
      <c r="M34" s="2"/>
      <c r="N34" s="19">
        <f t="shared" si="1"/>
        <v>0</v>
      </c>
      <c r="O34" s="11"/>
      <c r="P34" s="2">
        <f>--8289.6</f>
        <v>8289.6</v>
      </c>
      <c r="Q34" s="2"/>
      <c r="R34" s="19"/>
      <c r="S34" s="2"/>
      <c r="T34" s="2"/>
      <c r="U34" s="2"/>
      <c r="V34" s="19"/>
      <c r="W34" s="2"/>
      <c r="X34" s="2">
        <f t="shared" si="2"/>
        <v>8289.6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--16.9</f>
        <v>16.899999999999999</v>
      </c>
      <c r="E35" s="2"/>
      <c r="F35" s="19"/>
      <c r="G35" s="2"/>
      <c r="H35" s="2"/>
      <c r="I35" s="2"/>
      <c r="J35" s="19"/>
      <c r="K35" s="2"/>
      <c r="L35" s="2">
        <f t="shared" si="0"/>
        <v>16.899999999999999</v>
      </c>
      <c r="M35" s="2"/>
      <c r="N35" s="19">
        <f t="shared" si="1"/>
        <v>0</v>
      </c>
      <c r="O35" s="11"/>
      <c r="P35" s="2">
        <f>--1170.78</f>
        <v>1170.78</v>
      </c>
      <c r="Q35" s="2"/>
      <c r="R35" s="19"/>
      <c r="S35" s="2"/>
      <c r="T35" s="2"/>
      <c r="U35" s="2"/>
      <c r="V35" s="19"/>
      <c r="W35" s="2"/>
      <c r="X35" s="2">
        <f t="shared" si="2"/>
        <v>1170.78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--261.82</f>
        <v>261.82</v>
      </c>
      <c r="E36" s="2"/>
      <c r="F36" s="19"/>
      <c r="G36" s="2"/>
      <c r="H36" s="2"/>
      <c r="I36" s="2"/>
      <c r="J36" s="19"/>
      <c r="K36" s="2"/>
      <c r="L36" s="2">
        <f t="shared" si="0"/>
        <v>261.82</v>
      </c>
      <c r="M36" s="2"/>
      <c r="N36" s="19">
        <f t="shared" si="1"/>
        <v>0</v>
      </c>
      <c r="O36" s="11"/>
      <c r="P36" s="2">
        <f>--2381.48</f>
        <v>2381.48</v>
      </c>
      <c r="Q36" s="2"/>
      <c r="R36" s="19"/>
      <c r="S36" s="2"/>
      <c r="T36" s="2"/>
      <c r="U36" s="2"/>
      <c r="V36" s="19"/>
      <c r="W36" s="2"/>
      <c r="X36" s="2">
        <f t="shared" si="2"/>
        <v>2381.48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--29.9</f>
        <v>29.9</v>
      </c>
      <c r="E37" s="2"/>
      <c r="F37" s="19"/>
      <c r="G37" s="2"/>
      <c r="H37" s="2"/>
      <c r="I37" s="2"/>
      <c r="J37" s="19"/>
      <c r="K37" s="2"/>
      <c r="L37" s="2">
        <f t="shared" si="0"/>
        <v>29.9</v>
      </c>
      <c r="M37" s="2"/>
      <c r="N37" s="19">
        <f t="shared" si="1"/>
        <v>0</v>
      </c>
      <c r="O37" s="11"/>
      <c r="P37" s="2">
        <f>--679.25</f>
        <v>679.25</v>
      </c>
      <c r="Q37" s="2"/>
      <c r="R37" s="19"/>
      <c r="S37" s="2"/>
      <c r="T37" s="2"/>
      <c r="U37" s="2"/>
      <c r="V37" s="19"/>
      <c r="W37" s="2"/>
      <c r="X37" s="2">
        <f t="shared" si="2"/>
        <v>679.25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5"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--53716.09</f>
        <v>53716.09</v>
      </c>
      <c r="Q38" s="2"/>
      <c r="R38" s="19"/>
      <c r="S38" s="2"/>
      <c r="T38" s="2"/>
      <c r="U38" s="2"/>
      <c r="V38" s="19"/>
      <c r="W38" s="2"/>
      <c r="X38" s="2">
        <f t="shared" si="2"/>
        <v>53716.09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5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-34.23</f>
        <v>-34.229999999999997</v>
      </c>
      <c r="Q39" s="2"/>
      <c r="R39" s="19"/>
      <c r="S39" s="2"/>
      <c r="T39" s="2"/>
      <c r="U39" s="2"/>
      <c r="V39" s="19"/>
      <c r="W39" s="2"/>
      <c r="X39" s="2">
        <f t="shared" si="2"/>
        <v>-34.229999999999997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-64.39</f>
        <v>-64.39</v>
      </c>
      <c r="E40" s="2"/>
      <c r="F40" s="19"/>
      <c r="G40" s="2"/>
      <c r="H40" s="2"/>
      <c r="I40" s="2"/>
      <c r="J40" s="19"/>
      <c r="K40" s="2"/>
      <c r="L40" s="2">
        <f t="shared" si="0"/>
        <v>-64.39</v>
      </c>
      <c r="M40" s="2"/>
      <c r="N40" s="19">
        <f t="shared" si="1"/>
        <v>0</v>
      </c>
      <c r="O40" s="11"/>
      <c r="P40" s="2">
        <f>-686.15</f>
        <v>-686.15</v>
      </c>
      <c r="Q40" s="2"/>
      <c r="R40" s="19"/>
      <c r="S40" s="2"/>
      <c r="T40" s="2"/>
      <c r="U40" s="2"/>
      <c r="V40" s="19"/>
      <c r="W40" s="2"/>
      <c r="X40" s="2">
        <f t="shared" si="2"/>
        <v>-686.15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-98.38</f>
        <v>-98.38</v>
      </c>
      <c r="E41" s="2"/>
      <c r="F41" s="19"/>
      <c r="G41" s="2"/>
      <c r="H41" s="2"/>
      <c r="I41" s="2"/>
      <c r="J41" s="19"/>
      <c r="K41" s="2"/>
      <c r="L41" s="2">
        <f t="shared" si="0"/>
        <v>-98.38</v>
      </c>
      <c r="M41" s="2"/>
      <c r="N41" s="19">
        <f t="shared" si="1"/>
        <v>0</v>
      </c>
      <c r="O41" s="11"/>
      <c r="P41" s="2">
        <f>-12615.42</f>
        <v>-12615.42</v>
      </c>
      <c r="Q41" s="2"/>
      <c r="R41" s="19"/>
      <c r="S41" s="2"/>
      <c r="T41" s="2"/>
      <c r="U41" s="2"/>
      <c r="V41" s="19"/>
      <c r="W41" s="2"/>
      <c r="X41" s="2">
        <f t="shared" si="2"/>
        <v>-12615.42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-3924.84</f>
        <v>-3924.84</v>
      </c>
      <c r="E42" s="2"/>
      <c r="F42" s="19"/>
      <c r="G42" s="2"/>
      <c r="H42" s="2"/>
      <c r="I42" s="2"/>
      <c r="J42" s="19"/>
      <c r="K42" s="2"/>
      <c r="L42" s="2">
        <f t="shared" si="0"/>
        <v>-3924.84</v>
      </c>
      <c r="M42" s="2"/>
      <c r="N42" s="19">
        <f t="shared" si="1"/>
        <v>0</v>
      </c>
      <c r="O42" s="11"/>
      <c r="P42" s="2">
        <f>-35054.35</f>
        <v>-35054.35</v>
      </c>
      <c r="Q42" s="2"/>
      <c r="R42" s="19"/>
      <c r="S42" s="2"/>
      <c r="T42" s="2"/>
      <c r="U42" s="2"/>
      <c r="V42" s="19"/>
      <c r="W42" s="2"/>
      <c r="X42" s="2">
        <f t="shared" si="2"/>
        <v>-35054.35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-1214.87</f>
        <v>-1214.8699999999999</v>
      </c>
      <c r="E43" s="2"/>
      <c r="F43" s="19"/>
      <c r="G43" s="2"/>
      <c r="H43" s="2"/>
      <c r="I43" s="2"/>
      <c r="J43" s="19"/>
      <c r="K43" s="2"/>
      <c r="L43" s="2">
        <f t="shared" si="0"/>
        <v>-1214.8699999999999</v>
      </c>
      <c r="M43" s="2"/>
      <c r="N43" s="19">
        <f t="shared" si="1"/>
        <v>0</v>
      </c>
      <c r="O43" s="11"/>
      <c r="P43" s="2">
        <f>-5256.29</f>
        <v>-5256.29</v>
      </c>
      <c r="Q43" s="2"/>
      <c r="R43" s="19"/>
      <c r="S43" s="2"/>
      <c r="T43" s="2"/>
      <c r="U43" s="2"/>
      <c r="V43" s="19"/>
      <c r="W43" s="2"/>
      <c r="X43" s="2">
        <f t="shared" si="2"/>
        <v>-5256.29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-565.08</f>
        <v>-565.08000000000004</v>
      </c>
      <c r="E44" s="2"/>
      <c r="F44" s="19"/>
      <c r="G44" s="2"/>
      <c r="H44" s="2"/>
      <c r="I44" s="2"/>
      <c r="J44" s="19"/>
      <c r="K44" s="2"/>
      <c r="L44" s="2">
        <f t="shared" si="0"/>
        <v>-565.08000000000004</v>
      </c>
      <c r="M44" s="2"/>
      <c r="N44" s="19">
        <f t="shared" si="1"/>
        <v>0</v>
      </c>
      <c r="O44" s="11"/>
      <c r="P44" s="2">
        <f>-2303.82</f>
        <v>-2303.8200000000002</v>
      </c>
      <c r="Q44" s="2"/>
      <c r="R44" s="19"/>
      <c r="S44" s="2"/>
      <c r="T44" s="2"/>
      <c r="U44" s="2"/>
      <c r="V44" s="19"/>
      <c r="W44" s="2"/>
      <c r="X44" s="2">
        <f t="shared" si="2"/>
        <v>-2303.8200000000002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-572.63</f>
        <v>-572.63</v>
      </c>
      <c r="E45" s="2"/>
      <c r="F45" s="19"/>
      <c r="G45" s="2"/>
      <c r="H45" s="2"/>
      <c r="I45" s="2"/>
      <c r="J45" s="19"/>
      <c r="K45" s="2"/>
      <c r="L45" s="2">
        <f t="shared" si="0"/>
        <v>-572.63</v>
      </c>
      <c r="M45" s="2"/>
      <c r="N45" s="19">
        <f t="shared" si="1"/>
        <v>0</v>
      </c>
      <c r="O45" s="11"/>
      <c r="P45" s="2">
        <f>-5942.23</f>
        <v>-5942.23</v>
      </c>
      <c r="Q45" s="2"/>
      <c r="R45" s="19"/>
      <c r="S45" s="2"/>
      <c r="T45" s="2"/>
      <c r="U45" s="2"/>
      <c r="V45" s="19"/>
      <c r="W45" s="2"/>
      <c r="X45" s="2">
        <f t="shared" si="2"/>
        <v>-5942.23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-240.42</f>
        <v>-240.42</v>
      </c>
      <c r="E46" s="2"/>
      <c r="F46" s="19"/>
      <c r="G46" s="2"/>
      <c r="H46" s="2"/>
      <c r="I46" s="2"/>
      <c r="J46" s="19"/>
      <c r="K46" s="2"/>
      <c r="L46" s="2">
        <f t="shared" si="0"/>
        <v>-240.42</v>
      </c>
      <c r="M46" s="2"/>
      <c r="N46" s="19">
        <f t="shared" si="1"/>
        <v>0</v>
      </c>
      <c r="O46" s="11"/>
      <c r="P46" s="2">
        <f>-1235.26</f>
        <v>-1235.26</v>
      </c>
      <c r="Q46" s="2"/>
      <c r="R46" s="19"/>
      <c r="S46" s="2"/>
      <c r="T46" s="2"/>
      <c r="U46" s="2"/>
      <c r="V46" s="19"/>
      <c r="W46" s="2"/>
      <c r="X46" s="2">
        <f t="shared" si="2"/>
        <v>-1235.26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-11353.59</f>
        <v>-11353.59</v>
      </c>
      <c r="Q47" s="2"/>
      <c r="R47" s="19"/>
      <c r="S47" s="2"/>
      <c r="T47" s="2"/>
      <c r="U47" s="2"/>
      <c r="V47" s="19"/>
      <c r="W47" s="2"/>
      <c r="X47" s="2">
        <f t="shared" si="2"/>
        <v>-11353.59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-350.55</f>
        <v>-350.55</v>
      </c>
      <c r="E48" s="2"/>
      <c r="F48" s="19"/>
      <c r="G48" s="2"/>
      <c r="H48" s="2"/>
      <c r="I48" s="2"/>
      <c r="J48" s="19"/>
      <c r="K48" s="2"/>
      <c r="L48" s="2">
        <f t="shared" si="0"/>
        <v>-350.55</v>
      </c>
      <c r="M48" s="2"/>
      <c r="N48" s="19">
        <f t="shared" si="1"/>
        <v>0</v>
      </c>
      <c r="O48" s="11"/>
      <c r="P48" s="2">
        <f>-2643.39</f>
        <v>-2643.39</v>
      </c>
      <c r="Q48" s="2"/>
      <c r="R48" s="19"/>
      <c r="S48" s="2"/>
      <c r="T48" s="2"/>
      <c r="U48" s="2"/>
      <c r="V48" s="19"/>
      <c r="W48" s="2"/>
      <c r="X48" s="2">
        <f t="shared" si="2"/>
        <v>-2643.39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-29.9</f>
        <v>-29.9</v>
      </c>
      <c r="E49" s="2"/>
      <c r="F49" s="19"/>
      <c r="G49" s="2"/>
      <c r="H49" s="2"/>
      <c r="I49" s="2"/>
      <c r="J49" s="19"/>
      <c r="K49" s="2"/>
      <c r="L49" s="2">
        <f t="shared" si="0"/>
        <v>-29.9</v>
      </c>
      <c r="M49" s="2"/>
      <c r="N49" s="19">
        <f t="shared" si="1"/>
        <v>0</v>
      </c>
      <c r="O49" s="11"/>
      <c r="P49" s="2">
        <f>-381.34</f>
        <v>-381.34</v>
      </c>
      <c r="Q49" s="2"/>
      <c r="R49" s="19"/>
      <c r="S49" s="2"/>
      <c r="T49" s="2"/>
      <c r="U49" s="2"/>
      <c r="V49" s="19"/>
      <c r="W49" s="2"/>
      <c r="X49" s="2">
        <f t="shared" si="2"/>
        <v>-381.34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/>
      <c r="U50" s="2"/>
      <c r="V50" s="19"/>
      <c r="W50" s="2"/>
      <c r="X50" s="2">
        <f t="shared" si="2"/>
        <v>-118.7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257</v>
      </c>
      <c r="C52" s="10"/>
      <c r="D52" s="4">
        <f>SUM(OSRRefD16x_0)</f>
        <v>88675</v>
      </c>
      <c r="E52" s="4"/>
      <c r="F52" s="12">
        <f t="shared" ref="F52:F76" si="6">IF(D$12=0,0,D52/D$12)</f>
        <v>0.5317754018180092</v>
      </c>
      <c r="G52" s="4"/>
      <c r="H52" s="4">
        <f>SUM(OSRRefH16x_0)</f>
        <v>155852</v>
      </c>
      <c r="I52" s="4"/>
      <c r="J52" s="12">
        <f t="shared" ref="J52:J76" si="7">IF(H$12=0,0,H52/H$12)</f>
        <v>0.4586917813258774</v>
      </c>
      <c r="K52" s="4"/>
      <c r="L52" s="4">
        <f t="shared" ref="L52:L76" si="8">+D52-H52</f>
        <v>-67177</v>
      </c>
      <c r="M52" s="4"/>
      <c r="N52" s="12">
        <f t="shared" ref="N52:N76" si="9">IF(H52=0,0,L52/H52)</f>
        <v>-0.43103072145368682</v>
      </c>
      <c r="O52" s="10"/>
      <c r="P52" s="4">
        <f>SUM(OSRRefP16x_0)</f>
        <v>833951.54000000015</v>
      </c>
      <c r="Q52" s="4"/>
      <c r="R52" s="12">
        <f t="shared" ref="R52:R76" si="10">IF(P$12=0,0,P52/P$12)</f>
        <v>0.56428874405824059</v>
      </c>
      <c r="S52" s="4"/>
      <c r="T52" s="4">
        <f>SUM(OSRRefT16x_0)</f>
        <v>1332842</v>
      </c>
      <c r="U52" s="4"/>
      <c r="V52" s="12">
        <f t="shared" ref="V52:V76" si="11">IF(T$12=0,0,T52/T$12)</f>
        <v>0.45778266106637877</v>
      </c>
      <c r="W52" s="4"/>
      <c r="X52" s="4">
        <f t="shared" ref="X52:X76" si="12">+P52-T52</f>
        <v>-498890.45999999985</v>
      </c>
      <c r="Y52" s="4"/>
      <c r="Z52" s="12">
        <f t="shared" ref="Z52:Z76" si="13">IF(T52=0,0,X52/T52)</f>
        <v>-0.37430577667870601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6"/>
        <v>0</v>
      </c>
      <c r="G53" s="2"/>
      <c r="H53" s="2">
        <v>155852</v>
      </c>
      <c r="I53" s="2"/>
      <c r="J53" s="19">
        <f t="shared" si="7"/>
        <v>0.4586917813258774</v>
      </c>
      <c r="K53" s="2"/>
      <c r="L53" s="2">
        <f t="shared" si="8"/>
        <v>-155852</v>
      </c>
      <c r="M53" s="2"/>
      <c r="N53" s="19">
        <f t="shared" si="9"/>
        <v>-1</v>
      </c>
      <c r="O53" s="11"/>
      <c r="P53" s="2"/>
      <c r="Q53" s="2"/>
      <c r="R53" s="19">
        <f t="shared" si="10"/>
        <v>0</v>
      </c>
      <c r="S53" s="2"/>
      <c r="T53" s="2">
        <v>1332842</v>
      </c>
      <c r="U53" s="2"/>
      <c r="V53" s="19">
        <f t="shared" si="11"/>
        <v>0.45778266106637877</v>
      </c>
      <c r="W53" s="2"/>
      <c r="X53" s="2">
        <f t="shared" si="12"/>
        <v>-1332842</v>
      </c>
      <c r="Y53" s="2"/>
      <c r="Z53" s="19">
        <f t="shared" si="13"/>
        <v>-1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599.29</v>
      </c>
      <c r="Q54" s="2"/>
      <c r="R54" s="19">
        <f t="shared" si="10"/>
        <v>4.0550629767607712E-4</v>
      </c>
      <c r="S54" s="2"/>
      <c r="T54" s="2"/>
      <c r="U54" s="2"/>
      <c r="V54" s="19">
        <f t="shared" si="11"/>
        <v>0</v>
      </c>
      <c r="W54" s="2"/>
      <c r="X54" s="2">
        <f t="shared" si="12"/>
        <v>599.29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209.64</v>
      </c>
      <c r="E55" s="2"/>
      <c r="F55" s="19">
        <f t="shared" si="6"/>
        <v>1.257190811808598E-3</v>
      </c>
      <c r="G55" s="2"/>
      <c r="H55" s="2"/>
      <c r="I55" s="2"/>
      <c r="J55" s="19">
        <f t="shared" si="7"/>
        <v>0</v>
      </c>
      <c r="K55" s="2"/>
      <c r="L55" s="2">
        <f t="shared" si="8"/>
        <v>209.64</v>
      </c>
      <c r="M55" s="2"/>
      <c r="N55" s="19">
        <f t="shared" si="9"/>
        <v>0</v>
      </c>
      <c r="O55" s="11"/>
      <c r="P55" s="2">
        <v>219.64</v>
      </c>
      <c r="Q55" s="2"/>
      <c r="R55" s="19">
        <f t="shared" si="10"/>
        <v>1.4861820357685524E-4</v>
      </c>
      <c r="S55" s="2"/>
      <c r="T55" s="2"/>
      <c r="U55" s="2"/>
      <c r="V55" s="19">
        <f t="shared" si="11"/>
        <v>0</v>
      </c>
      <c r="W55" s="2"/>
      <c r="X55" s="2">
        <f t="shared" si="12"/>
        <v>219.64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2824.53</v>
      </c>
      <c r="E56" s="2"/>
      <c r="F56" s="19">
        <f t="shared" si="6"/>
        <v>1.6938433331796128E-2</v>
      </c>
      <c r="G56" s="2"/>
      <c r="H56" s="2"/>
      <c r="I56" s="2"/>
      <c r="J56" s="19">
        <f t="shared" si="7"/>
        <v>0</v>
      </c>
      <c r="K56" s="2"/>
      <c r="L56" s="2">
        <f t="shared" si="8"/>
        <v>2824.53</v>
      </c>
      <c r="M56" s="2"/>
      <c r="N56" s="19">
        <f t="shared" si="9"/>
        <v>0</v>
      </c>
      <c r="O56" s="11"/>
      <c r="P56" s="2">
        <v>21000.41</v>
      </c>
      <c r="Q56" s="2"/>
      <c r="R56" s="19">
        <f t="shared" si="10"/>
        <v>1.4209812459376374E-2</v>
      </c>
      <c r="S56" s="2"/>
      <c r="T56" s="2"/>
      <c r="U56" s="2"/>
      <c r="V56" s="19">
        <f t="shared" si="11"/>
        <v>0</v>
      </c>
      <c r="W56" s="2"/>
      <c r="X56" s="2">
        <f t="shared" si="12"/>
        <v>21000.41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3443.78</v>
      </c>
      <c r="E57" s="2"/>
      <c r="F57" s="19">
        <f t="shared" si="6"/>
        <v>2.0652015712126572E-2</v>
      </c>
      <c r="G57" s="2"/>
      <c r="H57" s="2"/>
      <c r="I57" s="2"/>
      <c r="J57" s="19">
        <f t="shared" si="7"/>
        <v>0</v>
      </c>
      <c r="K57" s="2"/>
      <c r="L57" s="2">
        <f t="shared" si="8"/>
        <v>3443.78</v>
      </c>
      <c r="M57" s="2"/>
      <c r="N57" s="19">
        <f t="shared" si="9"/>
        <v>0</v>
      </c>
      <c r="O57" s="11"/>
      <c r="P57" s="2">
        <v>4193.51</v>
      </c>
      <c r="Q57" s="2"/>
      <c r="R57" s="19">
        <f t="shared" si="10"/>
        <v>2.8375155840538076E-3</v>
      </c>
      <c r="S57" s="2"/>
      <c r="T57" s="2"/>
      <c r="U57" s="2"/>
      <c r="V57" s="19">
        <f t="shared" si="11"/>
        <v>0</v>
      </c>
      <c r="W57" s="2"/>
      <c r="X57" s="2">
        <f t="shared" si="12"/>
        <v>4193.51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5344.15</v>
      </c>
      <c r="Q58" s="2"/>
      <c r="R58" s="19">
        <f t="shared" si="10"/>
        <v>3.6160898408543569E-3</v>
      </c>
      <c r="S58" s="2"/>
      <c r="T58" s="2"/>
      <c r="U58" s="2"/>
      <c r="V58" s="19">
        <f t="shared" si="11"/>
        <v>0</v>
      </c>
      <c r="W58" s="2"/>
      <c r="X58" s="2">
        <f t="shared" si="12"/>
        <v>5344.15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45900.51</v>
      </c>
      <c r="E59" s="2"/>
      <c r="F59" s="19">
        <f t="shared" si="6"/>
        <v>0.275260920765735</v>
      </c>
      <c r="G59" s="2"/>
      <c r="H59" s="2"/>
      <c r="I59" s="2"/>
      <c r="J59" s="19">
        <f t="shared" si="7"/>
        <v>0</v>
      </c>
      <c r="K59" s="2"/>
      <c r="L59" s="2">
        <f t="shared" si="8"/>
        <v>45900.51</v>
      </c>
      <c r="M59" s="2"/>
      <c r="N59" s="19">
        <f t="shared" si="9"/>
        <v>0</v>
      </c>
      <c r="O59" s="11"/>
      <c r="P59" s="2">
        <v>239871.6</v>
      </c>
      <c r="Q59" s="2"/>
      <c r="R59" s="19">
        <f t="shared" si="10"/>
        <v>0.16230780495859584</v>
      </c>
      <c r="S59" s="2"/>
      <c r="T59" s="2"/>
      <c r="U59" s="2"/>
      <c r="V59" s="19">
        <f t="shared" si="11"/>
        <v>0</v>
      </c>
      <c r="W59" s="2"/>
      <c r="X59" s="2">
        <f t="shared" si="12"/>
        <v>239871.6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"5041", " - ", "PURCHASES @ COST-LOGO GIFTS")</f>
        <v xml:space="preserve">          5041 - PURCHASES @ COST-LOGO GIFTS</v>
      </c>
      <c r="C60" s="11"/>
      <c r="D60" s="2">
        <v>899.63</v>
      </c>
      <c r="E60" s="2"/>
      <c r="F60" s="19">
        <f t="shared" si="6"/>
        <v>5.3949941329296371E-3</v>
      </c>
      <c r="G60" s="2"/>
      <c r="H60" s="2"/>
      <c r="I60" s="2"/>
      <c r="J60" s="19">
        <f t="shared" si="7"/>
        <v>0</v>
      </c>
      <c r="K60" s="2"/>
      <c r="L60" s="2">
        <f t="shared" si="8"/>
        <v>899.63</v>
      </c>
      <c r="M60" s="2"/>
      <c r="N60" s="19">
        <f t="shared" si="9"/>
        <v>0</v>
      </c>
      <c r="O60" s="11"/>
      <c r="P60" s="2">
        <v>68463.44</v>
      </c>
      <c r="Q60" s="2"/>
      <c r="R60" s="19">
        <f t="shared" si="10"/>
        <v>4.6325411871661878E-2</v>
      </c>
      <c r="S60" s="2"/>
      <c r="T60" s="2"/>
      <c r="U60" s="2"/>
      <c r="V60" s="19">
        <f t="shared" si="11"/>
        <v>0</v>
      </c>
      <c r="W60" s="2"/>
      <c r="X60" s="2">
        <f t="shared" si="12"/>
        <v>68463.44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-270</v>
      </c>
      <c r="E61" s="2"/>
      <c r="F61" s="19">
        <f t="shared" si="6"/>
        <v>-1.6191638961473073E-3</v>
      </c>
      <c r="G61" s="2"/>
      <c r="H61" s="2"/>
      <c r="I61" s="2"/>
      <c r="J61" s="19">
        <f t="shared" si="7"/>
        <v>0</v>
      </c>
      <c r="K61" s="2"/>
      <c r="L61" s="2">
        <f t="shared" si="8"/>
        <v>-270</v>
      </c>
      <c r="M61" s="2"/>
      <c r="N61" s="19">
        <f t="shared" si="9"/>
        <v>0</v>
      </c>
      <c r="O61" s="11"/>
      <c r="P61" s="2">
        <v>18748.18</v>
      </c>
      <c r="Q61" s="2"/>
      <c r="R61" s="19">
        <f t="shared" si="10"/>
        <v>1.2685853359750164E-2</v>
      </c>
      <c r="S61" s="2"/>
      <c r="T61" s="2"/>
      <c r="U61" s="2"/>
      <c r="V61" s="19">
        <f t="shared" si="11"/>
        <v>0</v>
      </c>
      <c r="W61" s="2"/>
      <c r="X61" s="2">
        <f t="shared" si="12"/>
        <v>18748.18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"5043", " - ", "PURCHASES @ COST-CARDS")</f>
        <v xml:space="preserve">          5043 - PURCHASES @ COST-CARDS</v>
      </c>
      <c r="C62" s="11"/>
      <c r="D62" s="2"/>
      <c r="E62" s="2"/>
      <c r="F62" s="19">
        <f t="shared" si="6"/>
        <v>0</v>
      </c>
      <c r="G62" s="2"/>
      <c r="H62" s="2"/>
      <c r="I62" s="2"/>
      <c r="J62" s="19">
        <f t="shared" si="7"/>
        <v>0</v>
      </c>
      <c r="K62" s="2"/>
      <c r="L62" s="2">
        <f t="shared" si="8"/>
        <v>0</v>
      </c>
      <c r="M62" s="2"/>
      <c r="N62" s="19">
        <f t="shared" si="9"/>
        <v>0</v>
      </c>
      <c r="O62" s="11"/>
      <c r="P62" s="2">
        <v>55364.33</v>
      </c>
      <c r="Q62" s="2"/>
      <c r="R62" s="19">
        <f t="shared" si="10"/>
        <v>3.7461970801476029E-2</v>
      </c>
      <c r="S62" s="2"/>
      <c r="T62" s="2"/>
      <c r="U62" s="2"/>
      <c r="V62" s="19">
        <f t="shared" si="11"/>
        <v>0</v>
      </c>
      <c r="W62" s="2"/>
      <c r="X62" s="2">
        <f t="shared" si="12"/>
        <v>55364.33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19">
        <f t="shared" si="6"/>
        <v>0</v>
      </c>
      <c r="G63" s="2"/>
      <c r="H63" s="2"/>
      <c r="I63" s="2"/>
      <c r="J63" s="19">
        <f t="shared" si="7"/>
        <v>0</v>
      </c>
      <c r="K63" s="2"/>
      <c r="L63" s="2">
        <f t="shared" si="8"/>
        <v>0</v>
      </c>
      <c r="M63" s="2"/>
      <c r="N63" s="19">
        <f t="shared" si="9"/>
        <v>0</v>
      </c>
      <c r="O63" s="11"/>
      <c r="P63" s="2">
        <v>1064.83</v>
      </c>
      <c r="Q63" s="2"/>
      <c r="R63" s="19">
        <f t="shared" si="10"/>
        <v>7.2051139006894358E-4</v>
      </c>
      <c r="S63" s="2"/>
      <c r="T63" s="2"/>
      <c r="U63" s="2"/>
      <c r="V63" s="19">
        <f t="shared" si="11"/>
        <v>0</v>
      </c>
      <c r="W63" s="2"/>
      <c r="X63" s="2">
        <f t="shared" si="12"/>
        <v>1064.83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13853.18</v>
      </c>
      <c r="E64" s="2"/>
      <c r="F64" s="19">
        <f t="shared" si="6"/>
        <v>8.307618112159243E-2</v>
      </c>
      <c r="G64" s="2"/>
      <c r="H64" s="2"/>
      <c r="I64" s="2"/>
      <c r="J64" s="19">
        <f t="shared" si="7"/>
        <v>0</v>
      </c>
      <c r="K64" s="2"/>
      <c r="L64" s="2">
        <f t="shared" si="8"/>
        <v>13853.18</v>
      </c>
      <c r="M64" s="2"/>
      <c r="N64" s="19">
        <f t="shared" si="9"/>
        <v>0</v>
      </c>
      <c r="O64" s="11"/>
      <c r="P64" s="2">
        <v>109226.69</v>
      </c>
      <c r="Q64" s="2"/>
      <c r="R64" s="19">
        <f t="shared" si="10"/>
        <v>7.3907641825013928E-2</v>
      </c>
      <c r="S64" s="2"/>
      <c r="T64" s="2"/>
      <c r="U64" s="2"/>
      <c r="V64" s="19">
        <f t="shared" si="11"/>
        <v>0</v>
      </c>
      <c r="W64" s="2"/>
      <c r="X64" s="2">
        <f t="shared" si="12"/>
        <v>109226.69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"5086", " - ", "PURCHASES @ COST-COMPUTER SUPP")</f>
        <v xml:space="preserve">          5086 - PURCHASES @ COST-COMPUTER SUPP</v>
      </c>
      <c r="C65" s="11"/>
      <c r="D65" s="2"/>
      <c r="E65" s="2"/>
      <c r="F65" s="19">
        <f t="shared" si="6"/>
        <v>0</v>
      </c>
      <c r="G65" s="2"/>
      <c r="H65" s="2"/>
      <c r="I65" s="2"/>
      <c r="J65" s="19">
        <f t="shared" si="7"/>
        <v>0</v>
      </c>
      <c r="K65" s="2"/>
      <c r="L65" s="2">
        <f t="shared" si="8"/>
        <v>0</v>
      </c>
      <c r="M65" s="2"/>
      <c r="N65" s="19">
        <f t="shared" si="9"/>
        <v>0</v>
      </c>
      <c r="O65" s="11"/>
      <c r="P65" s="2">
        <v>13.21</v>
      </c>
      <c r="Q65" s="2"/>
      <c r="R65" s="19">
        <f t="shared" si="10"/>
        <v>8.9384741816165454E-6</v>
      </c>
      <c r="S65" s="2"/>
      <c r="T65" s="2"/>
      <c r="U65" s="2"/>
      <c r="V65" s="19">
        <f t="shared" si="11"/>
        <v>0</v>
      </c>
      <c r="W65" s="2"/>
      <c r="X65" s="2">
        <f t="shared" si="12"/>
        <v>13.21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>
        <v>-68518.25</v>
      </c>
      <c r="E66" s="2"/>
      <c r="F66" s="19">
        <f t="shared" si="6"/>
        <v>-0.41089732084146385</v>
      </c>
      <c r="G66" s="2"/>
      <c r="H66" s="2"/>
      <c r="I66" s="2"/>
      <c r="J66" s="19">
        <f t="shared" si="7"/>
        <v>0</v>
      </c>
      <c r="K66" s="2"/>
      <c r="L66" s="2">
        <f t="shared" si="8"/>
        <v>-68518.25</v>
      </c>
      <c r="M66" s="2"/>
      <c r="N66" s="19">
        <f t="shared" si="9"/>
        <v>0</v>
      </c>
      <c r="O66" s="11"/>
      <c r="P66" s="2">
        <v>-543871.46</v>
      </c>
      <c r="Q66" s="2"/>
      <c r="R66" s="19">
        <f t="shared" si="10"/>
        <v>-0.36800764597487473</v>
      </c>
      <c r="S66" s="2"/>
      <c r="T66" s="2"/>
      <c r="U66" s="2"/>
      <c r="V66" s="19">
        <f t="shared" si="11"/>
        <v>0</v>
      </c>
      <c r="W66" s="2"/>
      <c r="X66" s="2">
        <f t="shared" si="12"/>
        <v>-543871.46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>
        <v>88675</v>
      </c>
      <c r="E67" s="2"/>
      <c r="F67" s="19">
        <f t="shared" si="6"/>
        <v>0.5317754018180092</v>
      </c>
      <c r="G67" s="2"/>
      <c r="H67" s="2"/>
      <c r="I67" s="2"/>
      <c r="J67" s="19">
        <f t="shared" si="7"/>
        <v>0</v>
      </c>
      <c r="K67" s="2"/>
      <c r="L67" s="2">
        <f t="shared" si="8"/>
        <v>88675</v>
      </c>
      <c r="M67" s="2"/>
      <c r="N67" s="19">
        <f t="shared" si="9"/>
        <v>0</v>
      </c>
      <c r="O67" s="11"/>
      <c r="P67" s="2">
        <v>833035</v>
      </c>
      <c r="Q67" s="2"/>
      <c r="R67" s="19">
        <f t="shared" si="10"/>
        <v>0.56366857228485523</v>
      </c>
      <c r="S67" s="2"/>
      <c r="T67" s="2"/>
      <c r="U67" s="2"/>
      <c r="V67" s="19">
        <f t="shared" si="11"/>
        <v>0</v>
      </c>
      <c r="W67" s="2"/>
      <c r="X67" s="2">
        <f t="shared" si="12"/>
        <v>833035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"5525", " - ", "FREIGHT-IN-TEST FORMS")</f>
        <v xml:space="preserve">          5525 - FREIGHT-IN-TEST FORMS</v>
      </c>
      <c r="C68" s="11"/>
      <c r="D68" s="2"/>
      <c r="E68" s="2"/>
      <c r="F68" s="19">
        <f t="shared" si="6"/>
        <v>0</v>
      </c>
      <c r="G68" s="2"/>
      <c r="H68" s="2"/>
      <c r="I68" s="2"/>
      <c r="J68" s="19">
        <f t="shared" si="7"/>
        <v>0</v>
      </c>
      <c r="K68" s="2"/>
      <c r="L68" s="2">
        <f t="shared" si="8"/>
        <v>0</v>
      </c>
      <c r="M68" s="2"/>
      <c r="N68" s="19">
        <f t="shared" si="9"/>
        <v>0</v>
      </c>
      <c r="O68" s="11"/>
      <c r="P68" s="2">
        <v>48.14</v>
      </c>
      <c r="Q68" s="2"/>
      <c r="R68" s="19">
        <f t="shared" si="10"/>
        <v>3.2573667456701021E-5</v>
      </c>
      <c r="S68" s="2"/>
      <c r="T68" s="2"/>
      <c r="U68" s="2"/>
      <c r="V68" s="19">
        <f t="shared" si="11"/>
        <v>0</v>
      </c>
      <c r="W68" s="2"/>
      <c r="X68" s="2">
        <f t="shared" si="12"/>
        <v>48.14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"5526", " - ", "FREIGHT-IN-WRITING INSTRUMENTS")</f>
        <v xml:space="preserve">          5526 - FREIGHT-IN-WRITING INSTRUMENTS</v>
      </c>
      <c r="C69" s="11"/>
      <c r="D69" s="2"/>
      <c r="E69" s="2"/>
      <c r="F69" s="19">
        <f t="shared" si="6"/>
        <v>0</v>
      </c>
      <c r="G69" s="2"/>
      <c r="H69" s="2"/>
      <c r="I69" s="2"/>
      <c r="J69" s="19">
        <f t="shared" si="7"/>
        <v>0</v>
      </c>
      <c r="K69" s="2"/>
      <c r="L69" s="2">
        <f t="shared" si="8"/>
        <v>0</v>
      </c>
      <c r="M69" s="2"/>
      <c r="N69" s="19">
        <f t="shared" si="9"/>
        <v>0</v>
      </c>
      <c r="O69" s="11"/>
      <c r="P69" s="2">
        <v>0</v>
      </c>
      <c r="Q69" s="2"/>
      <c r="R69" s="19">
        <f t="shared" si="10"/>
        <v>0</v>
      </c>
      <c r="S69" s="2"/>
      <c r="T69" s="2"/>
      <c r="U69" s="2"/>
      <c r="V69" s="19">
        <f t="shared" si="11"/>
        <v>0</v>
      </c>
      <c r="W69" s="2"/>
      <c r="X69" s="2">
        <f t="shared" si="12"/>
        <v>0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"5527", " - ", "FREIGHT-IN-SCHOOL SUPPLIES")</f>
        <v xml:space="preserve">          5527 - FREIGHT-IN-SCHOOL SUPPLIES</v>
      </c>
      <c r="C70" s="11"/>
      <c r="D70" s="2">
        <v>41.12</v>
      </c>
      <c r="E70" s="2"/>
      <c r="F70" s="19">
        <f t="shared" si="6"/>
        <v>2.4659266447991582E-4</v>
      </c>
      <c r="G70" s="2"/>
      <c r="H70" s="2"/>
      <c r="I70" s="2"/>
      <c r="J70" s="19">
        <f t="shared" si="7"/>
        <v>0</v>
      </c>
      <c r="K70" s="2"/>
      <c r="L70" s="2">
        <f t="shared" si="8"/>
        <v>41.12</v>
      </c>
      <c r="M70" s="2"/>
      <c r="N70" s="19">
        <f t="shared" si="9"/>
        <v>0</v>
      </c>
      <c r="O70" s="11"/>
      <c r="P70" s="2">
        <v>218.62</v>
      </c>
      <c r="Q70" s="2"/>
      <c r="R70" s="19">
        <f t="shared" si="10"/>
        <v>1.4792802616086367E-4</v>
      </c>
      <c r="S70" s="2"/>
      <c r="T70" s="2"/>
      <c r="U70" s="2"/>
      <c r="V70" s="19">
        <f t="shared" si="11"/>
        <v>0</v>
      </c>
      <c r="W70" s="2"/>
      <c r="X70" s="2">
        <f t="shared" si="12"/>
        <v>218.62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"5528", " - ", "FREIGHT-IN-ART/TECH")</f>
        <v xml:space="preserve">          5528 - FREIGHT-IN-ART/TECH</v>
      </c>
      <c r="C71" s="11"/>
      <c r="D71" s="2">
        <v>73.23</v>
      </c>
      <c r="E71" s="2"/>
      <c r="F71" s="19">
        <f t="shared" si="6"/>
        <v>4.3915323005506415E-4</v>
      </c>
      <c r="G71" s="2"/>
      <c r="H71" s="2"/>
      <c r="I71" s="2"/>
      <c r="J71" s="19">
        <f t="shared" si="7"/>
        <v>0</v>
      </c>
      <c r="K71" s="2"/>
      <c r="L71" s="2">
        <f t="shared" si="8"/>
        <v>73.23</v>
      </c>
      <c r="M71" s="2"/>
      <c r="N71" s="19">
        <f t="shared" si="9"/>
        <v>0</v>
      </c>
      <c r="O71" s="11"/>
      <c r="P71" s="2">
        <v>107.18</v>
      </c>
      <c r="Q71" s="2"/>
      <c r="R71" s="19">
        <f t="shared" si="10"/>
        <v>7.2522760241155288E-5</v>
      </c>
      <c r="S71" s="2"/>
      <c r="T71" s="2"/>
      <c r="U71" s="2"/>
      <c r="V71" s="19">
        <f t="shared" si="11"/>
        <v>0</v>
      </c>
      <c r="W71" s="2"/>
      <c r="X71" s="2">
        <f t="shared" si="12"/>
        <v>107.18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"5540", " - ", "FREIGHT-IN-LOGO CLOTHING")</f>
        <v xml:space="preserve">          5540 - FREIGHT-IN-LOGO CLOTHING</v>
      </c>
      <c r="C72" s="11"/>
      <c r="D72" s="2">
        <v>1167.1400000000001</v>
      </c>
      <c r="E72" s="2"/>
      <c r="F72" s="19">
        <f t="shared" si="6"/>
        <v>6.9992257398124756E-3</v>
      </c>
      <c r="G72" s="2"/>
      <c r="H72" s="2"/>
      <c r="I72" s="2"/>
      <c r="J72" s="19">
        <f t="shared" si="7"/>
        <v>0</v>
      </c>
      <c r="K72" s="2"/>
      <c r="L72" s="2">
        <f t="shared" si="8"/>
        <v>1167.1400000000001</v>
      </c>
      <c r="M72" s="2"/>
      <c r="N72" s="19">
        <f t="shared" si="9"/>
        <v>0</v>
      </c>
      <c r="O72" s="11"/>
      <c r="P72" s="2">
        <v>7108.37</v>
      </c>
      <c r="Q72" s="2"/>
      <c r="R72" s="19">
        <f t="shared" si="10"/>
        <v>4.8098396456001209E-3</v>
      </c>
      <c r="S72" s="2"/>
      <c r="T72" s="2"/>
      <c r="U72" s="2"/>
      <c r="V72" s="19">
        <f t="shared" si="11"/>
        <v>0</v>
      </c>
      <c r="W72" s="2"/>
      <c r="X72" s="2">
        <f t="shared" si="12"/>
        <v>7108.37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"5541", " - ", "FREIGHT-IN-LOGO GIFTS")</f>
        <v xml:space="preserve">          5541 - FREIGHT-IN-LOGO GIFTS</v>
      </c>
      <c r="C73" s="11"/>
      <c r="D73" s="2">
        <v>60.07</v>
      </c>
      <c r="E73" s="2"/>
      <c r="F73" s="19">
        <f t="shared" si="6"/>
        <v>3.6023398237618057E-4</v>
      </c>
      <c r="G73" s="2"/>
      <c r="H73" s="2"/>
      <c r="I73" s="2"/>
      <c r="J73" s="19">
        <f t="shared" si="7"/>
        <v>0</v>
      </c>
      <c r="K73" s="2"/>
      <c r="L73" s="2">
        <f t="shared" si="8"/>
        <v>60.07</v>
      </c>
      <c r="M73" s="2"/>
      <c r="N73" s="19">
        <f t="shared" si="9"/>
        <v>0</v>
      </c>
      <c r="O73" s="11"/>
      <c r="P73" s="2">
        <v>2138</v>
      </c>
      <c r="Q73" s="2"/>
      <c r="R73" s="19">
        <f t="shared" si="10"/>
        <v>1.4466659954804066E-3</v>
      </c>
      <c r="S73" s="2"/>
      <c r="T73" s="2"/>
      <c r="U73" s="2"/>
      <c r="V73" s="19">
        <f t="shared" si="11"/>
        <v>0</v>
      </c>
      <c r="W73" s="2"/>
      <c r="X73" s="2">
        <f t="shared" si="12"/>
        <v>2138</v>
      </c>
      <c r="Y73" s="2"/>
      <c r="Z73" s="19">
        <f t="shared" si="13"/>
        <v>0</v>
      </c>
    </row>
    <row r="74" spans="1:26" s="24" customFormat="1" hidden="1" outlineLevel="1" x14ac:dyDescent="0.25">
      <c r="A74" s="44"/>
      <c r="B74" s="11" t="str">
        <f>CONCATENATE("          ", "5542", " - ", "FREIGHT-IN-EVERYDAY GIFTS")</f>
        <v xml:space="preserve">          5542 - FREIGHT-IN-EVERYDAY GIFTS</v>
      </c>
      <c r="C74" s="11"/>
      <c r="D74" s="2">
        <v>297.79000000000002</v>
      </c>
      <c r="E74" s="2"/>
      <c r="F74" s="19">
        <f t="shared" si="6"/>
        <v>1.7858178393840988E-3</v>
      </c>
      <c r="G74" s="2"/>
      <c r="H74" s="2"/>
      <c r="I74" s="2"/>
      <c r="J74" s="19">
        <f t="shared" si="7"/>
        <v>0</v>
      </c>
      <c r="K74" s="2"/>
      <c r="L74" s="2">
        <f t="shared" si="8"/>
        <v>297.79000000000002</v>
      </c>
      <c r="M74" s="2"/>
      <c r="N74" s="19">
        <f t="shared" si="9"/>
        <v>0</v>
      </c>
      <c r="O74" s="11"/>
      <c r="P74" s="2">
        <v>681.72</v>
      </c>
      <c r="Q74" s="2"/>
      <c r="R74" s="19">
        <f t="shared" si="10"/>
        <v>4.6128210591155419E-4</v>
      </c>
      <c r="S74" s="2"/>
      <c r="T74" s="2"/>
      <c r="U74" s="2"/>
      <c r="V74" s="19">
        <f t="shared" si="11"/>
        <v>0</v>
      </c>
      <c r="W74" s="2"/>
      <c r="X74" s="2">
        <f t="shared" si="12"/>
        <v>681.72</v>
      </c>
      <c r="Y74" s="2"/>
      <c r="Z74" s="19">
        <f t="shared" si="13"/>
        <v>0</v>
      </c>
    </row>
    <row r="75" spans="1:26" s="24" customFormat="1" hidden="1" outlineLevel="1" x14ac:dyDescent="0.25">
      <c r="A75" s="44"/>
      <c r="B75" s="11" t="str">
        <f>CONCATENATE("          ", "5543", " - ", "FREIGHT-IN-CARDS")</f>
        <v xml:space="preserve">          5543 - FREIGHT-IN-CARDS</v>
      </c>
      <c r="C75" s="11"/>
      <c r="D75" s="2"/>
      <c r="E75" s="2"/>
      <c r="F75" s="19">
        <f t="shared" si="6"/>
        <v>0</v>
      </c>
      <c r="G75" s="2"/>
      <c r="H75" s="2"/>
      <c r="I75" s="2"/>
      <c r="J75" s="19">
        <f t="shared" si="7"/>
        <v>0</v>
      </c>
      <c r="K75" s="2"/>
      <c r="L75" s="2">
        <f t="shared" si="8"/>
        <v>0</v>
      </c>
      <c r="M75" s="2"/>
      <c r="N75" s="19">
        <f t="shared" si="9"/>
        <v>0</v>
      </c>
      <c r="O75" s="11"/>
      <c r="P75" s="2">
        <v>9110.5300000000007</v>
      </c>
      <c r="Q75" s="2"/>
      <c r="R75" s="19">
        <f t="shared" si="10"/>
        <v>6.1645902487390599E-3</v>
      </c>
      <c r="S75" s="2"/>
      <c r="T75" s="2"/>
      <c r="U75" s="2"/>
      <c r="V75" s="19">
        <f t="shared" si="11"/>
        <v>0</v>
      </c>
      <c r="W75" s="2"/>
      <c r="X75" s="2">
        <f t="shared" si="12"/>
        <v>9110.5300000000007</v>
      </c>
      <c r="Y75" s="2"/>
      <c r="Z75" s="19">
        <f t="shared" si="13"/>
        <v>0</v>
      </c>
    </row>
    <row r="76" spans="1:26" s="24" customFormat="1" hidden="1" outlineLevel="1" x14ac:dyDescent="0.25">
      <c r="A76" s="44"/>
      <c r="B76" s="11" t="str">
        <f>CONCATENATE("          ", "5545", " - ", "FREIGHT-IN-SPECIAL ORDERS")</f>
        <v xml:space="preserve">          5545 - FREIGHT-IN-SPECIAL ORDERS</v>
      </c>
      <c r="C76" s="11"/>
      <c r="D76" s="2">
        <v>17.63</v>
      </c>
      <c r="E76" s="2"/>
      <c r="F76" s="19">
        <f t="shared" si="6"/>
        <v>1.057254055151001E-4</v>
      </c>
      <c r="G76" s="2"/>
      <c r="H76" s="2"/>
      <c r="I76" s="2"/>
      <c r="J76" s="19">
        <f t="shared" si="7"/>
        <v>0</v>
      </c>
      <c r="K76" s="2"/>
      <c r="L76" s="2">
        <f t="shared" si="8"/>
        <v>17.63</v>
      </c>
      <c r="M76" s="2"/>
      <c r="N76" s="19">
        <f t="shared" si="9"/>
        <v>0</v>
      </c>
      <c r="O76" s="11"/>
      <c r="P76" s="2">
        <v>1266.1600000000001</v>
      </c>
      <c r="Q76" s="2"/>
      <c r="R76" s="19">
        <f t="shared" si="10"/>
        <v>8.5674023238422443E-4</v>
      </c>
      <c r="S76" s="2"/>
      <c r="T76" s="2"/>
      <c r="U76" s="2"/>
      <c r="V76" s="19">
        <f t="shared" si="11"/>
        <v>0</v>
      </c>
      <c r="W76" s="2"/>
      <c r="X76" s="2">
        <f t="shared" si="12"/>
        <v>1266.1600000000001</v>
      </c>
      <c r="Y76" s="2"/>
      <c r="Z76" s="19">
        <f t="shared" si="13"/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108</v>
      </c>
      <c r="C78" s="29"/>
      <c r="D78" s="20">
        <f>D12-D52</f>
        <v>78077.73000000001</v>
      </c>
      <c r="E78" s="14"/>
      <c r="F78" s="21">
        <f>IF(D$12=0,0,D78/D$12)</f>
        <v>0.4682245981819908</v>
      </c>
      <c r="G78" s="14"/>
      <c r="H78" s="20">
        <f>H12-H52</f>
        <v>183923</v>
      </c>
      <c r="I78" s="14"/>
      <c r="J78" s="21">
        <f>IF(H$12=0,0,H78/H$12)</f>
        <v>0.5413082186741226</v>
      </c>
      <c r="K78" s="16"/>
      <c r="L78" s="20">
        <f>+D78-H78</f>
        <v>-105845.26999999999</v>
      </c>
      <c r="M78" s="16"/>
      <c r="N78" s="21">
        <f>IF(H78=0,0,L78/H78)</f>
        <v>-0.57548686134958649</v>
      </c>
      <c r="O78" s="28"/>
      <c r="P78" s="20">
        <f>P12-P52</f>
        <v>643929.33000000019</v>
      </c>
      <c r="Q78" s="14"/>
      <c r="R78" s="21">
        <f>IF(P$12=0,0,P78/P$12)</f>
        <v>0.43571125594175941</v>
      </c>
      <c r="S78" s="14"/>
      <c r="T78" s="20">
        <f>T12-T52</f>
        <v>1578675</v>
      </c>
      <c r="U78" s="14"/>
      <c r="V78" s="21">
        <f>IF(T$12=0,0,T78/T$12)</f>
        <v>0.54221733893362123</v>
      </c>
      <c r="W78" s="16"/>
      <c r="X78" s="20">
        <f>+P78-T78</f>
        <v>-934745.66999999981</v>
      </c>
      <c r="Y78" s="16"/>
      <c r="Z78" s="21">
        <f>IF(T78=0,0,X78/T78)</f>
        <v>-0.592107729583353</v>
      </c>
    </row>
    <row r="79" spans="1:26" x14ac:dyDescent="0.25">
      <c r="A79" s="9"/>
      <c r="B79" s="10"/>
      <c r="C79" s="9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295</v>
      </c>
      <c r="C80" s="10"/>
      <c r="D80" s="22">
        <f>SUM(OSRRefD22x_0)</f>
        <v>64245.679999999986</v>
      </c>
      <c r="E80" s="22"/>
      <c r="F80" s="32">
        <f t="shared" ref="F80:F90" si="14">IF(D$12=0,0,D80/D$12)</f>
        <v>0.38527513162753008</v>
      </c>
      <c r="G80" s="22"/>
      <c r="H80" s="22">
        <f>SUM(OSRRefH22x_0)</f>
        <v>126556.66453992303</v>
      </c>
      <c r="I80" s="22"/>
      <c r="J80" s="32">
        <f t="shared" ref="J80:J90" si="15">IF(H$12=0,0,H80/H$12)</f>
        <v>0.37247197274644406</v>
      </c>
      <c r="K80" s="4"/>
      <c r="L80" s="22">
        <f t="shared" ref="L80:L90" si="16">+D80-H80</f>
        <v>-62310.984539923047</v>
      </c>
      <c r="M80" s="4"/>
      <c r="N80" s="32">
        <f t="shared" ref="N80:N90" si="17">IF(H80=0,0,L80/H80)</f>
        <v>-0.492356406250472</v>
      </c>
      <c r="O80" s="10"/>
      <c r="P80" s="22">
        <f>SUM(OSRRefP22x_0)</f>
        <v>608155.79</v>
      </c>
      <c r="Q80" s="22"/>
      <c r="R80" s="32">
        <f t="shared" ref="R80:R90" si="18">IF(P$12=0,0,P80/P$12)</f>
        <v>0.41150528594364977</v>
      </c>
      <c r="S80" s="22"/>
      <c r="T80" s="22">
        <f>SUM(OSRRefT22x_0)</f>
        <v>1143304.0471735001</v>
      </c>
      <c r="U80" s="22"/>
      <c r="V80" s="32">
        <f t="shared" ref="V80:V90" si="19">IF(T$12=0,0,T80/T$12)</f>
        <v>0.39268328063119673</v>
      </c>
      <c r="W80" s="4"/>
      <c r="X80" s="22">
        <f t="shared" ref="X80:X90" si="20">+P80-T80</f>
        <v>-535148.25717350002</v>
      </c>
      <c r="Y80" s="4"/>
      <c r="Z80" s="32">
        <f t="shared" ref="Z80:Z90" si="21">IF(T80=0,0,X80/T80)</f>
        <v>-0.46807168967564194</v>
      </c>
    </row>
    <row r="81" spans="1:26" s="25" customFormat="1" outlineLevel="1" collapsed="1" x14ac:dyDescent="0.25">
      <c r="A81" s="27"/>
      <c r="B81" s="13" t="str">
        <f>CONCATENATE("     ","*Benefits                                         ")</f>
        <v xml:space="preserve">     *Benefits                                         </v>
      </c>
      <c r="C81" s="13"/>
      <c r="D81" s="1">
        <f>SUM(OSRRefD22_0x_0)</f>
        <v>13506.529999999999</v>
      </c>
      <c r="E81" s="1"/>
      <c r="F81" s="5">
        <f t="shared" si="14"/>
        <v>8.099735458603885E-2</v>
      </c>
      <c r="G81" s="1"/>
      <c r="H81" s="1">
        <f>SUM(OSRRefH22_0x_0)</f>
        <v>13993.743001461527</v>
      </c>
      <c r="I81" s="1"/>
      <c r="J81" s="5">
        <f t="shared" si="15"/>
        <v>4.1185322644283796E-2</v>
      </c>
      <c r="K81" s="1"/>
      <c r="L81" s="1">
        <f t="shared" si="16"/>
        <v>-487.21300146152862</v>
      </c>
      <c r="M81" s="1"/>
      <c r="N81" s="5">
        <f t="shared" si="17"/>
        <v>-3.481648915594944E-2</v>
      </c>
      <c r="O81" s="13"/>
      <c r="P81" s="1">
        <f>SUM(OSRRefP22_0x_0)</f>
        <v>133974.77000000002</v>
      </c>
      <c r="Q81" s="1"/>
      <c r="R81" s="5">
        <f t="shared" si="18"/>
        <v>9.0653294673203252E-2</v>
      </c>
      <c r="S81" s="1"/>
      <c r="T81" s="1">
        <f>SUM(OSRRefT22_0x_0)</f>
        <v>135596.43967349996</v>
      </c>
      <c r="U81" s="1"/>
      <c r="V81" s="5">
        <f t="shared" si="19"/>
        <v>4.6572436181378969E-2</v>
      </c>
      <c r="W81" s="1"/>
      <c r="X81" s="1">
        <f t="shared" si="20"/>
        <v>-1621.6696734999423</v>
      </c>
      <c r="Y81" s="1"/>
      <c r="Z81" s="5">
        <f t="shared" si="21"/>
        <v>-1.1959529891822597E-2</v>
      </c>
    </row>
    <row r="82" spans="1:26" s="24" customFormat="1" hidden="1" outlineLevel="2" x14ac:dyDescent="0.25">
      <c r="A82" s="26"/>
      <c r="B82" s="11" t="str">
        <f>CONCATENATE("          ", "6111", " - ", "F.I.C.A.")</f>
        <v xml:space="preserve">          6111 - F.I.C.A.</v>
      </c>
      <c r="C82" s="11"/>
      <c r="D82" s="7">
        <v>2616.6799999999998</v>
      </c>
      <c r="E82" s="2"/>
      <c r="F82" s="6">
        <f t="shared" si="14"/>
        <v>1.5691976976928652E-2</v>
      </c>
      <c r="G82" s="2"/>
      <c r="H82" s="7">
        <v>1783.21375615385</v>
      </c>
      <c r="I82" s="2"/>
      <c r="J82" s="6">
        <f t="shared" si="15"/>
        <v>5.2482194280151573E-3</v>
      </c>
      <c r="K82" s="2"/>
      <c r="L82" s="7">
        <f t="shared" si="16"/>
        <v>833.46624384614984</v>
      </c>
      <c r="M82" s="2"/>
      <c r="N82" s="6">
        <f t="shared" si="17"/>
        <v>0.46739558898638345</v>
      </c>
      <c r="O82" s="11"/>
      <c r="P82" s="7">
        <v>26322.29</v>
      </c>
      <c r="Q82" s="2"/>
      <c r="R82" s="6">
        <f t="shared" si="18"/>
        <v>1.781083342664825E-2</v>
      </c>
      <c r="S82" s="2"/>
      <c r="T82" s="7">
        <v>23269.6544025</v>
      </c>
      <c r="U82" s="2"/>
      <c r="V82" s="6">
        <f t="shared" si="19"/>
        <v>7.9922783904404476E-3</v>
      </c>
      <c r="W82" s="2"/>
      <c r="X82" s="7">
        <f t="shared" si="20"/>
        <v>3052.6355975000006</v>
      </c>
      <c r="Y82" s="2"/>
      <c r="Z82" s="6">
        <f t="shared" si="21"/>
        <v>0.13118525718938212</v>
      </c>
    </row>
    <row r="83" spans="1:26" s="24" customFormat="1" hidden="1" outlineLevel="2" x14ac:dyDescent="0.25">
      <c r="A83" s="26"/>
      <c r="B83" s="11" t="str">
        <f>CONCATENATE("          ", "6112", " - ", "COMPENSATION INSURANCE")</f>
        <v xml:space="preserve">          6112 - COMPENSATION INSURANCE</v>
      </c>
      <c r="C83" s="11"/>
      <c r="D83" s="7">
        <v>745.75</v>
      </c>
      <c r="E83" s="2"/>
      <c r="F83" s="6">
        <f t="shared" si="14"/>
        <v>4.4721906501920539E-3</v>
      </c>
      <c r="G83" s="2"/>
      <c r="H83" s="7">
        <v>1268.5464088461499</v>
      </c>
      <c r="I83" s="2"/>
      <c r="J83" s="6">
        <f t="shared" si="15"/>
        <v>3.7334895411556173E-3</v>
      </c>
      <c r="K83" s="2"/>
      <c r="L83" s="7">
        <f t="shared" si="16"/>
        <v>-522.79640884614992</v>
      </c>
      <c r="M83" s="2"/>
      <c r="N83" s="6">
        <f t="shared" si="17"/>
        <v>-0.41212241444258818</v>
      </c>
      <c r="O83" s="11"/>
      <c r="P83" s="7">
        <v>9230.8700000000008</v>
      </c>
      <c r="Q83" s="2"/>
      <c r="R83" s="6">
        <f t="shared" si="18"/>
        <v>6.2460176509355576E-3</v>
      </c>
      <c r="S83" s="2"/>
      <c r="T83" s="7">
        <v>11418.155785000001</v>
      </c>
      <c r="U83" s="2"/>
      <c r="V83" s="6">
        <f t="shared" si="19"/>
        <v>3.9217204587848878E-3</v>
      </c>
      <c r="W83" s="2"/>
      <c r="X83" s="7">
        <f t="shared" si="20"/>
        <v>-2187.285785</v>
      </c>
      <c r="Y83" s="2"/>
      <c r="Z83" s="6">
        <f t="shared" si="21"/>
        <v>-0.19156208990189388</v>
      </c>
    </row>
    <row r="84" spans="1:26" s="24" customFormat="1" hidden="1" outlineLevel="2" x14ac:dyDescent="0.25">
      <c r="A84" s="26"/>
      <c r="B84" s="11" t="str">
        <f>CONCATENATE("          ", "6113", " - ", "GROUP INSURANCE")</f>
        <v xml:space="preserve">          6113 - GROUP INSURANCE</v>
      </c>
      <c r="C84" s="11"/>
      <c r="D84" s="7">
        <v>4818.63</v>
      </c>
      <c r="E84" s="2"/>
      <c r="F84" s="6">
        <f t="shared" si="14"/>
        <v>2.8896858240341852E-2</v>
      </c>
      <c r="G84" s="2"/>
      <c r="H84" s="7">
        <v>5958.8461538461497</v>
      </c>
      <c r="I84" s="2"/>
      <c r="J84" s="6">
        <f t="shared" si="15"/>
        <v>1.753762388005636E-2</v>
      </c>
      <c r="K84" s="2"/>
      <c r="L84" s="7">
        <f t="shared" si="16"/>
        <v>-1140.2161538461496</v>
      </c>
      <c r="M84" s="2"/>
      <c r="N84" s="6">
        <f t="shared" si="17"/>
        <v>-0.19134847995869045</v>
      </c>
      <c r="O84" s="11"/>
      <c r="P84" s="7">
        <v>48589.8</v>
      </c>
      <c r="Q84" s="2"/>
      <c r="R84" s="6">
        <f t="shared" si="18"/>
        <v>3.2878022164262805E-2</v>
      </c>
      <c r="S84" s="2"/>
      <c r="T84" s="7">
        <v>54090</v>
      </c>
      <c r="U84" s="2"/>
      <c r="V84" s="6">
        <f t="shared" si="19"/>
        <v>1.8577944075202035E-2</v>
      </c>
      <c r="W84" s="2"/>
      <c r="X84" s="7">
        <f t="shared" si="20"/>
        <v>-5500.1999999999971</v>
      </c>
      <c r="Y84" s="2"/>
      <c r="Z84" s="6">
        <f t="shared" si="21"/>
        <v>-0.10168607875762613</v>
      </c>
    </row>
    <row r="85" spans="1:26" s="24" customFormat="1" hidden="1" outlineLevel="2" x14ac:dyDescent="0.25">
      <c r="A85" s="26"/>
      <c r="B85" s="11" t="str">
        <f>CONCATENATE("          ", "6114", " - ", "STATE UNEMPLOYMENT INSURANCE")</f>
        <v xml:space="preserve">          6114 - STATE UNEMPLOYMENT INSURANCE</v>
      </c>
      <c r="C85" s="11"/>
      <c r="D85" s="7">
        <v>104.81</v>
      </c>
      <c r="E85" s="2"/>
      <c r="F85" s="6">
        <f t="shared" si="14"/>
        <v>6.2853543687110846E-4</v>
      </c>
      <c r="G85" s="2"/>
      <c r="H85" s="7">
        <v>178.28219799999999</v>
      </c>
      <c r="I85" s="2"/>
      <c r="J85" s="6">
        <f t="shared" si="15"/>
        <v>5.2470663821646676E-4</v>
      </c>
      <c r="K85" s="2"/>
      <c r="L85" s="7">
        <f t="shared" si="16"/>
        <v>-73.472197999999992</v>
      </c>
      <c r="M85" s="2"/>
      <c r="N85" s="6">
        <f t="shared" si="17"/>
        <v>-0.41211180266018482</v>
      </c>
      <c r="O85" s="11"/>
      <c r="P85" s="7">
        <v>1097.2</v>
      </c>
      <c r="Q85" s="2"/>
      <c r="R85" s="6">
        <f t="shared" si="18"/>
        <v>7.4241437335879434E-4</v>
      </c>
      <c r="S85" s="2"/>
      <c r="T85" s="7">
        <v>1604.713786</v>
      </c>
      <c r="U85" s="2"/>
      <c r="V85" s="6">
        <f t="shared" si="19"/>
        <v>5.5116071312652482E-4</v>
      </c>
      <c r="W85" s="2"/>
      <c r="X85" s="7">
        <f t="shared" si="20"/>
        <v>-507.51378599999998</v>
      </c>
      <c r="Y85" s="2"/>
      <c r="Z85" s="6">
        <f t="shared" si="21"/>
        <v>-0.31626436466596169</v>
      </c>
    </row>
    <row r="86" spans="1:26" s="24" customFormat="1" hidden="1" outlineLevel="2" x14ac:dyDescent="0.25">
      <c r="A86" s="26"/>
      <c r="B86" s="11" t="str">
        <f>CONCATENATE("          ", "6115", " - ", "P.E.R.S.")</f>
        <v xml:space="preserve">          6115 - P.E.R.S.</v>
      </c>
      <c r="C86" s="11"/>
      <c r="D86" s="7">
        <v>1916.82</v>
      </c>
      <c r="E86" s="2"/>
      <c r="F86" s="6">
        <f t="shared" si="14"/>
        <v>1.149498422004845E-2</v>
      </c>
      <c r="G86" s="2"/>
      <c r="H86" s="7">
        <v>1371.4115692307701</v>
      </c>
      <c r="I86" s="2"/>
      <c r="J86" s="6">
        <f t="shared" si="15"/>
        <v>4.0362344764352E-3</v>
      </c>
      <c r="K86" s="2"/>
      <c r="L86" s="7">
        <f t="shared" si="16"/>
        <v>545.40843076922988</v>
      </c>
      <c r="M86" s="2"/>
      <c r="N86" s="6">
        <f t="shared" si="17"/>
        <v>0.39769857787852231</v>
      </c>
      <c r="O86" s="11"/>
      <c r="P86" s="7">
        <v>18164.849999999999</v>
      </c>
      <c r="Q86" s="2"/>
      <c r="R86" s="6">
        <f t="shared" si="18"/>
        <v>1.2291146308700778E-2</v>
      </c>
      <c r="S86" s="2"/>
      <c r="T86" s="7">
        <v>13185.2276</v>
      </c>
      <c r="U86" s="2"/>
      <c r="V86" s="6">
        <f t="shared" si="19"/>
        <v>4.5286452388909292E-3</v>
      </c>
      <c r="W86" s="2"/>
      <c r="X86" s="7">
        <f t="shared" si="20"/>
        <v>4979.6223999999984</v>
      </c>
      <c r="Y86" s="2"/>
      <c r="Z86" s="6">
        <f t="shared" si="21"/>
        <v>0.37766677611238186</v>
      </c>
    </row>
    <row r="87" spans="1:26" s="24" customFormat="1" hidden="1" outlineLevel="2" x14ac:dyDescent="0.25">
      <c r="A87" s="26"/>
      <c r="B87" s="11" t="str">
        <f>CONCATENATE("          ", "6116", " - ", "EDUCATIONAL BENEFITS")</f>
        <v xml:space="preserve">          6116 - EDUCATIONAL BENEFITS</v>
      </c>
      <c r="C87" s="11"/>
      <c r="D87" s="7"/>
      <c r="E87" s="2"/>
      <c r="F87" s="6">
        <f t="shared" si="14"/>
        <v>0</v>
      </c>
      <c r="G87" s="2"/>
      <c r="H87" s="7">
        <v>0</v>
      </c>
      <c r="I87" s="2"/>
      <c r="J87" s="6">
        <f t="shared" si="15"/>
        <v>0</v>
      </c>
      <c r="K87" s="2"/>
      <c r="L87" s="7">
        <f t="shared" si="16"/>
        <v>0</v>
      </c>
      <c r="M87" s="2"/>
      <c r="N87" s="6">
        <f t="shared" si="17"/>
        <v>0</v>
      </c>
      <c r="O87" s="11"/>
      <c r="P87" s="7"/>
      <c r="Q87" s="2"/>
      <c r="R87" s="6">
        <f t="shared" si="18"/>
        <v>0</v>
      </c>
      <c r="S87" s="2"/>
      <c r="T87" s="7">
        <v>0</v>
      </c>
      <c r="U87" s="2"/>
      <c r="V87" s="6">
        <f t="shared" si="19"/>
        <v>0</v>
      </c>
      <c r="W87" s="2"/>
      <c r="X87" s="7">
        <f t="shared" si="20"/>
        <v>0</v>
      </c>
      <c r="Y87" s="2"/>
      <c r="Z87" s="6">
        <f t="shared" si="21"/>
        <v>0</v>
      </c>
    </row>
    <row r="88" spans="1:26" s="24" customFormat="1" hidden="1" outlineLevel="2" x14ac:dyDescent="0.25">
      <c r="A88" s="26"/>
      <c r="B88" s="11" t="str">
        <f>CONCATENATE("          ", "6118", " - ", "VACATION")</f>
        <v xml:space="preserve">          6118 - VACATION</v>
      </c>
      <c r="C88" s="11"/>
      <c r="D88" s="7">
        <v>1633.18</v>
      </c>
      <c r="E88" s="2"/>
      <c r="F88" s="6">
        <f t="shared" si="14"/>
        <v>9.7940225626291094E-3</v>
      </c>
      <c r="G88" s="2"/>
      <c r="H88" s="7">
        <v>995.09230769230805</v>
      </c>
      <c r="I88" s="2"/>
      <c r="J88" s="6">
        <f t="shared" si="15"/>
        <v>2.9286801786249962E-3</v>
      </c>
      <c r="K88" s="2"/>
      <c r="L88" s="7">
        <f t="shared" si="16"/>
        <v>638.08769230769201</v>
      </c>
      <c r="M88" s="2"/>
      <c r="N88" s="6">
        <f t="shared" si="17"/>
        <v>0.64123467478857721</v>
      </c>
      <c r="O88" s="11"/>
      <c r="P88" s="7">
        <v>15262.59</v>
      </c>
      <c r="Q88" s="2"/>
      <c r="R88" s="6">
        <f t="shared" si="18"/>
        <v>1.0327347968175539E-2</v>
      </c>
      <c r="S88" s="2"/>
      <c r="T88" s="7">
        <v>9556.5499999999902</v>
      </c>
      <c r="U88" s="2"/>
      <c r="V88" s="6">
        <f t="shared" si="19"/>
        <v>3.2823267046010688E-3</v>
      </c>
      <c r="W88" s="2"/>
      <c r="X88" s="7">
        <f t="shared" si="20"/>
        <v>5706.04000000001</v>
      </c>
      <c r="Y88" s="2"/>
      <c r="Z88" s="6">
        <f t="shared" si="21"/>
        <v>0.59708158278876955</v>
      </c>
    </row>
    <row r="89" spans="1:26" s="24" customFormat="1" hidden="1" outlineLevel="2" x14ac:dyDescent="0.25">
      <c r="A89" s="26"/>
      <c r="B89" s="11" t="str">
        <f>CONCATENATE("          ", "6119", " - ", "SICK LEAVE")</f>
        <v xml:space="preserve">          6119 - SICK LEAVE</v>
      </c>
      <c r="C89" s="11"/>
      <c r="D89" s="7">
        <v>1105.6199999999999</v>
      </c>
      <c r="E89" s="2"/>
      <c r="F89" s="6">
        <f t="shared" si="14"/>
        <v>6.6302962476236507E-3</v>
      </c>
      <c r="G89" s="2"/>
      <c r="H89" s="7">
        <v>1563.3506076922999</v>
      </c>
      <c r="I89" s="2"/>
      <c r="J89" s="6">
        <f t="shared" si="15"/>
        <v>4.6011348913024795E-3</v>
      </c>
      <c r="K89" s="2"/>
      <c r="L89" s="7">
        <f t="shared" si="16"/>
        <v>-457.73060769230005</v>
      </c>
      <c r="M89" s="2"/>
      <c r="N89" s="6">
        <f t="shared" si="17"/>
        <v>-0.29278819827112701</v>
      </c>
      <c r="O89" s="11"/>
      <c r="P89" s="7">
        <v>11236.64</v>
      </c>
      <c r="Q89" s="2"/>
      <c r="R89" s="6">
        <f t="shared" si="18"/>
        <v>7.6032109408114851E-3</v>
      </c>
      <c r="S89" s="2"/>
      <c r="T89" s="7">
        <v>14597.1381</v>
      </c>
      <c r="U89" s="2"/>
      <c r="V89" s="6">
        <f t="shared" si="19"/>
        <v>5.0135850486189848E-3</v>
      </c>
      <c r="W89" s="2"/>
      <c r="X89" s="7">
        <f t="shared" si="20"/>
        <v>-3360.4981000000007</v>
      </c>
      <c r="Y89" s="2"/>
      <c r="Z89" s="6">
        <f t="shared" si="21"/>
        <v>-0.2302162298512474</v>
      </c>
    </row>
    <row r="90" spans="1:26" s="24" customFormat="1" hidden="1" outlineLevel="2" x14ac:dyDescent="0.25">
      <c r="A90" s="26"/>
      <c r="B90" s="11" t="str">
        <f>CONCATENATE("          ", "6156", " - ", "EMPLOYEE MEALS")</f>
        <v xml:space="preserve">          6156 - EMPLOYEE MEALS</v>
      </c>
      <c r="C90" s="11"/>
      <c r="D90" s="7">
        <v>565.04</v>
      </c>
      <c r="E90" s="2"/>
      <c r="F90" s="6">
        <f t="shared" si="14"/>
        <v>3.3884902514039797E-3</v>
      </c>
      <c r="G90" s="2"/>
      <c r="H90" s="7">
        <v>875</v>
      </c>
      <c r="I90" s="2"/>
      <c r="J90" s="6">
        <f t="shared" si="15"/>
        <v>2.575233610477522E-3</v>
      </c>
      <c r="K90" s="2"/>
      <c r="L90" s="7">
        <f t="shared" si="16"/>
        <v>-309.96000000000004</v>
      </c>
      <c r="M90" s="2"/>
      <c r="N90" s="6">
        <f t="shared" si="17"/>
        <v>-0.35424000000000005</v>
      </c>
      <c r="O90" s="11"/>
      <c r="P90" s="7">
        <v>4070.53</v>
      </c>
      <c r="Q90" s="2"/>
      <c r="R90" s="6">
        <f t="shared" si="18"/>
        <v>2.7543018403100375E-3</v>
      </c>
      <c r="S90" s="2"/>
      <c r="T90" s="7">
        <v>7875</v>
      </c>
      <c r="U90" s="2"/>
      <c r="V90" s="6">
        <f t="shared" si="19"/>
        <v>2.7047755517141062E-3</v>
      </c>
      <c r="W90" s="2"/>
      <c r="X90" s="7">
        <f t="shared" si="20"/>
        <v>-3804.47</v>
      </c>
      <c r="Y90" s="2"/>
      <c r="Z90" s="6">
        <f t="shared" si="21"/>
        <v>-0.48310730158730159</v>
      </c>
    </row>
    <row r="91" spans="1:26" s="25" customFormat="1" outlineLevel="1" collapsed="1" x14ac:dyDescent="0.25">
      <c r="A91" s="27"/>
      <c r="B91" s="13" t="str">
        <f>CONCATENATE("     ","*Payroll                                          ")</f>
        <v xml:space="preserve">     *Payroll                                          </v>
      </c>
      <c r="C91" s="13"/>
      <c r="D91" s="1">
        <f>SUM(OSRRefD22_1x_0)</f>
        <v>41331.880000000005</v>
      </c>
      <c r="E91" s="1"/>
      <c r="F91" s="5">
        <f t="shared" ref="F91:F101" si="22">IF(D$12=0,0,D91/D$12)</f>
        <v>0.24786328835515917</v>
      </c>
      <c r="G91" s="1"/>
      <c r="H91" s="1">
        <f>SUM(OSRRefH22_1x_0)</f>
        <v>66477.921538461494</v>
      </c>
      <c r="I91" s="1"/>
      <c r="J91" s="5">
        <f t="shared" ref="J91:J101" si="23">IF(H$12=0,0,H91/H$12)</f>
        <v>0.19565277474346698</v>
      </c>
      <c r="K91" s="1"/>
      <c r="L91" s="1">
        <f t="shared" ref="L91:L101" si="24">+D91-H91</f>
        <v>-25146.04153846149</v>
      </c>
      <c r="M91" s="1"/>
      <c r="N91" s="5">
        <f t="shared" ref="N91:N101" si="25">IF(H91=0,0,L91/H91)</f>
        <v>-0.37826154844376392</v>
      </c>
      <c r="O91" s="13"/>
      <c r="P91" s="1">
        <f>SUM(OSRRefP22_1x_0)</f>
        <v>344984.31999999995</v>
      </c>
      <c r="Q91" s="1"/>
      <c r="R91" s="5">
        <f t="shared" ref="R91:R101" si="26">IF(P$12=0,0,P91/P$12)</f>
        <v>0.23343175150511278</v>
      </c>
      <c r="S91" s="1"/>
      <c r="T91" s="1">
        <f>SUM(OSRRefT22_1x_0)</f>
        <v>597109.60749999993</v>
      </c>
      <c r="U91" s="1"/>
      <c r="V91" s="5">
        <f t="shared" ref="V91:V101" si="27">IF(T$12=0,0,T91/T$12)</f>
        <v>0.20508539276947377</v>
      </c>
      <c r="W91" s="1"/>
      <c r="X91" s="1">
        <f t="shared" ref="X91:X101" si="28">+P91-T91</f>
        <v>-252125.28749999998</v>
      </c>
      <c r="Y91" s="1"/>
      <c r="Z91" s="5">
        <f t="shared" ref="Z91:Z101" si="29">IF(T91=0,0,X91/T91)</f>
        <v>-0.42224289198026344</v>
      </c>
    </row>
    <row r="92" spans="1:26" s="24" customFormat="1" hidden="1" outlineLevel="2" x14ac:dyDescent="0.25">
      <c r="A92" s="26"/>
      <c r="B92" s="11" t="str">
        <f>CONCATENATE("          ", "6001", " - ", "ADMINISTRATIVE SALARIES")</f>
        <v xml:space="preserve">          6001 - ADMINISTRATIVE SALARIES</v>
      </c>
      <c r="C92" s="11"/>
      <c r="D92" s="7"/>
      <c r="E92" s="2"/>
      <c r="F92" s="6">
        <f t="shared" si="22"/>
        <v>0</v>
      </c>
      <c r="G92" s="2"/>
      <c r="H92" s="7">
        <v>0</v>
      </c>
      <c r="I92" s="2"/>
      <c r="J92" s="6">
        <f t="shared" si="23"/>
        <v>0</v>
      </c>
      <c r="K92" s="2"/>
      <c r="L92" s="7">
        <f t="shared" si="24"/>
        <v>0</v>
      </c>
      <c r="M92" s="2"/>
      <c r="N92" s="6">
        <f t="shared" si="25"/>
        <v>0</v>
      </c>
      <c r="O92" s="11"/>
      <c r="P92" s="7"/>
      <c r="Q92" s="2"/>
      <c r="R92" s="6">
        <f t="shared" si="26"/>
        <v>0</v>
      </c>
      <c r="S92" s="2"/>
      <c r="T92" s="7">
        <v>0</v>
      </c>
      <c r="U92" s="2"/>
      <c r="V92" s="6">
        <f t="shared" si="27"/>
        <v>0</v>
      </c>
      <c r="W92" s="2"/>
      <c r="X92" s="7">
        <f t="shared" si="28"/>
        <v>0</v>
      </c>
      <c r="Y92" s="2"/>
      <c r="Z92" s="6">
        <f t="shared" si="29"/>
        <v>0</v>
      </c>
    </row>
    <row r="93" spans="1:26" s="24" customFormat="1" hidden="1" outlineLevel="2" x14ac:dyDescent="0.25">
      <c r="A93" s="26"/>
      <c r="B93" s="11" t="str">
        <f>CONCATENATE("          ", "6002", " - ", "STAFF SALARIES")</f>
        <v xml:space="preserve">          6002 - STAFF SALARIES</v>
      </c>
      <c r="C93" s="11"/>
      <c r="D93" s="7">
        <v>19213.95</v>
      </c>
      <c r="E93" s="2"/>
      <c r="F93" s="6">
        <f t="shared" si="22"/>
        <v>0.11522420052733169</v>
      </c>
      <c r="G93" s="2"/>
      <c r="H93" s="7">
        <v>14351.981538461499</v>
      </c>
      <c r="I93" s="2"/>
      <c r="J93" s="6">
        <f t="shared" si="23"/>
        <v>4.2239663125484508E-2</v>
      </c>
      <c r="K93" s="2"/>
      <c r="L93" s="7">
        <f t="shared" si="24"/>
        <v>4861.9684615385013</v>
      </c>
      <c r="M93" s="2"/>
      <c r="N93" s="6">
        <f t="shared" si="25"/>
        <v>0.33876635421450613</v>
      </c>
      <c r="O93" s="11"/>
      <c r="P93" s="7">
        <v>165024.01</v>
      </c>
      <c r="Q93" s="2"/>
      <c r="R93" s="6">
        <f t="shared" si="26"/>
        <v>0.11166259293957839</v>
      </c>
      <c r="S93" s="2"/>
      <c r="T93" s="7">
        <v>137984.94</v>
      </c>
      <c r="U93" s="2"/>
      <c r="V93" s="6">
        <f t="shared" si="27"/>
        <v>4.7392799011649257E-2</v>
      </c>
      <c r="W93" s="2"/>
      <c r="X93" s="7">
        <f t="shared" si="28"/>
        <v>27039.070000000007</v>
      </c>
      <c r="Y93" s="2"/>
      <c r="Z93" s="6">
        <f t="shared" si="29"/>
        <v>0.19595667469218023</v>
      </c>
    </row>
    <row r="94" spans="1:26" s="24" customFormat="1" hidden="1" outlineLevel="2" x14ac:dyDescent="0.25">
      <c r="A94" s="26"/>
      <c r="B94" s="11" t="str">
        <f>CONCATENATE("          ", "6003", " - ", "STAFF HOURLY-9 MONTH")</f>
        <v xml:space="preserve">          6003 - STAFF HOURLY-9 MONTH</v>
      </c>
      <c r="C94" s="11"/>
      <c r="D94" s="7"/>
      <c r="E94" s="2"/>
      <c r="F94" s="6">
        <f t="shared" si="22"/>
        <v>0</v>
      </c>
      <c r="G94" s="2"/>
      <c r="H94" s="7">
        <v>0</v>
      </c>
      <c r="I94" s="2"/>
      <c r="J94" s="6">
        <f t="shared" si="23"/>
        <v>0</v>
      </c>
      <c r="K94" s="2"/>
      <c r="L94" s="7">
        <f t="shared" si="24"/>
        <v>0</v>
      </c>
      <c r="M94" s="2"/>
      <c r="N94" s="6">
        <f t="shared" si="25"/>
        <v>0</v>
      </c>
      <c r="O94" s="11"/>
      <c r="P94" s="7"/>
      <c r="Q94" s="2"/>
      <c r="R94" s="6">
        <f t="shared" si="26"/>
        <v>0</v>
      </c>
      <c r="S94" s="2"/>
      <c r="T94" s="7">
        <v>0</v>
      </c>
      <c r="U94" s="2"/>
      <c r="V94" s="6">
        <f t="shared" si="27"/>
        <v>0</v>
      </c>
      <c r="W94" s="2"/>
      <c r="X94" s="7">
        <f t="shared" si="28"/>
        <v>0</v>
      </c>
      <c r="Y94" s="2"/>
      <c r="Z94" s="6">
        <f t="shared" si="29"/>
        <v>0</v>
      </c>
    </row>
    <row r="95" spans="1:26" s="24" customFormat="1" hidden="1" outlineLevel="2" x14ac:dyDescent="0.25">
      <c r="A95" s="26"/>
      <c r="B95" s="11" t="str">
        <f>CONCATENATE("          ", "6004", " - ", "STAFF HOURLY")</f>
        <v xml:space="preserve">          6004 - STAFF HOURLY</v>
      </c>
      <c r="C95" s="11"/>
      <c r="D95" s="7">
        <v>3122.6</v>
      </c>
      <c r="E95" s="2"/>
      <c r="F95" s="6">
        <f t="shared" si="22"/>
        <v>1.8725930304109562E-2</v>
      </c>
      <c r="G95" s="2"/>
      <c r="H95" s="7">
        <v>6856.71</v>
      </c>
      <c r="I95" s="2"/>
      <c r="J95" s="6">
        <f t="shared" si="23"/>
        <v>2.0180148627768377E-2</v>
      </c>
      <c r="K95" s="2"/>
      <c r="L95" s="7">
        <f t="shared" si="24"/>
        <v>-3734.11</v>
      </c>
      <c r="M95" s="2"/>
      <c r="N95" s="6">
        <f t="shared" si="25"/>
        <v>-0.54459208570874373</v>
      </c>
      <c r="O95" s="11"/>
      <c r="P95" s="7">
        <v>52405.99</v>
      </c>
      <c r="Q95" s="2"/>
      <c r="R95" s="6">
        <f t="shared" si="26"/>
        <v>3.5460226235961755E-2</v>
      </c>
      <c r="S95" s="2"/>
      <c r="T95" s="7">
        <v>65554.807499999995</v>
      </c>
      <c r="U95" s="2"/>
      <c r="V95" s="6">
        <f t="shared" si="27"/>
        <v>2.2515687698199942E-2</v>
      </c>
      <c r="W95" s="2"/>
      <c r="X95" s="7">
        <f t="shared" si="28"/>
        <v>-13148.817499999997</v>
      </c>
      <c r="Y95" s="2"/>
      <c r="Z95" s="6">
        <f t="shared" si="29"/>
        <v>-0.20057747099631096</v>
      </c>
    </row>
    <row r="96" spans="1:26" s="24" customFormat="1" hidden="1" outlineLevel="2" x14ac:dyDescent="0.25">
      <c r="A96" s="26"/>
      <c r="B96" s="11" t="str">
        <f>CONCATENATE("          ", "6005", " - ", "TEMPORARY WAGES-HOURLY")</f>
        <v xml:space="preserve">          6005 - TEMPORARY WAGES-HOURLY</v>
      </c>
      <c r="C96" s="11"/>
      <c r="D96" s="7">
        <v>8360.42</v>
      </c>
      <c r="E96" s="2"/>
      <c r="F96" s="6">
        <f t="shared" si="22"/>
        <v>5.0136630446769893E-2</v>
      </c>
      <c r="G96" s="2"/>
      <c r="H96" s="7">
        <v>0</v>
      </c>
      <c r="I96" s="2"/>
      <c r="J96" s="6">
        <f t="shared" si="23"/>
        <v>0</v>
      </c>
      <c r="K96" s="2"/>
      <c r="L96" s="7">
        <f t="shared" si="24"/>
        <v>8360.42</v>
      </c>
      <c r="M96" s="2"/>
      <c r="N96" s="6">
        <f t="shared" si="25"/>
        <v>0</v>
      </c>
      <c r="O96" s="11"/>
      <c r="P96" s="7">
        <v>51840.86</v>
      </c>
      <c r="Q96" s="2"/>
      <c r="R96" s="6">
        <f t="shared" si="26"/>
        <v>3.5077834115276145E-2</v>
      </c>
      <c r="S96" s="2"/>
      <c r="T96" s="7">
        <v>0</v>
      </c>
      <c r="U96" s="2"/>
      <c r="V96" s="6">
        <f t="shared" si="27"/>
        <v>0</v>
      </c>
      <c r="W96" s="2"/>
      <c r="X96" s="7">
        <f t="shared" si="28"/>
        <v>51840.86</v>
      </c>
      <c r="Y96" s="2"/>
      <c r="Z96" s="6">
        <f t="shared" si="29"/>
        <v>0</v>
      </c>
    </row>
    <row r="97" spans="1:26" s="24" customFormat="1" hidden="1" outlineLevel="2" x14ac:dyDescent="0.25">
      <c r="A97" s="26"/>
      <c r="B97" s="11" t="str">
        <f>CONCATENATE("          ", "6006", " - ", "TEMPORARY PART TIME")</f>
        <v xml:space="preserve">          6006 - TEMPORARY PART TIME</v>
      </c>
      <c r="C97" s="11"/>
      <c r="D97" s="7">
        <v>1476.19</v>
      </c>
      <c r="E97" s="2"/>
      <c r="F97" s="6">
        <f t="shared" si="22"/>
        <v>8.8525687105692353E-3</v>
      </c>
      <c r="G97" s="2"/>
      <c r="H97" s="7">
        <v>0</v>
      </c>
      <c r="I97" s="2"/>
      <c r="J97" s="6">
        <f t="shared" si="23"/>
        <v>0</v>
      </c>
      <c r="K97" s="2"/>
      <c r="L97" s="7">
        <f t="shared" si="24"/>
        <v>1476.19</v>
      </c>
      <c r="M97" s="2"/>
      <c r="N97" s="6">
        <f t="shared" si="25"/>
        <v>0</v>
      </c>
      <c r="O97" s="11"/>
      <c r="P97" s="7">
        <v>2770.61</v>
      </c>
      <c r="Q97" s="2"/>
      <c r="R97" s="6">
        <f t="shared" si="26"/>
        <v>1.8747180887455424E-3</v>
      </c>
      <c r="S97" s="2"/>
      <c r="T97" s="7">
        <v>0</v>
      </c>
      <c r="U97" s="2"/>
      <c r="V97" s="6">
        <f t="shared" si="27"/>
        <v>0</v>
      </c>
      <c r="W97" s="2"/>
      <c r="X97" s="7">
        <f t="shared" si="28"/>
        <v>2770.61</v>
      </c>
      <c r="Y97" s="2"/>
      <c r="Z97" s="6">
        <f t="shared" si="29"/>
        <v>0</v>
      </c>
    </row>
    <row r="98" spans="1:26" s="24" customFormat="1" hidden="1" outlineLevel="2" x14ac:dyDescent="0.25">
      <c r="A98" s="26"/>
      <c r="B98" s="11" t="str">
        <f>CONCATENATE("          ", "6007", " - ", "STUDENT HOURLY")</f>
        <v xml:space="preserve">          6007 - STUDENT HOURLY</v>
      </c>
      <c r="C98" s="11"/>
      <c r="D98" s="7">
        <v>8046.35</v>
      </c>
      <c r="E98" s="2"/>
      <c r="F98" s="6">
        <f t="shared" si="22"/>
        <v>4.8253183021351433E-2</v>
      </c>
      <c r="G98" s="2"/>
      <c r="H98" s="7">
        <v>0</v>
      </c>
      <c r="I98" s="2"/>
      <c r="J98" s="6">
        <f t="shared" si="23"/>
        <v>0</v>
      </c>
      <c r="K98" s="2"/>
      <c r="L98" s="7">
        <f t="shared" si="24"/>
        <v>8046.35</v>
      </c>
      <c r="M98" s="2"/>
      <c r="N98" s="6">
        <f t="shared" si="25"/>
        <v>0</v>
      </c>
      <c r="O98" s="11"/>
      <c r="P98" s="7">
        <v>65498.49</v>
      </c>
      <c r="Q98" s="2"/>
      <c r="R98" s="6">
        <f t="shared" si="26"/>
        <v>4.4319194685834173E-2</v>
      </c>
      <c r="S98" s="2"/>
      <c r="T98" s="7">
        <v>80431.5</v>
      </c>
      <c r="U98" s="2"/>
      <c r="V98" s="6">
        <f t="shared" si="27"/>
        <v>2.7625289496849923E-2</v>
      </c>
      <c r="W98" s="2"/>
      <c r="X98" s="7">
        <f t="shared" si="28"/>
        <v>-14933.010000000002</v>
      </c>
      <c r="Y98" s="2"/>
      <c r="Z98" s="6">
        <f t="shared" si="29"/>
        <v>-0.18566121482255088</v>
      </c>
    </row>
    <row r="99" spans="1:26" s="24" customFormat="1" hidden="1" outlineLevel="2" x14ac:dyDescent="0.25">
      <c r="A99" s="26"/>
      <c r="B99" s="11" t="str">
        <f>CONCATENATE("          ", "6008", " - ", "STUDENT HOURLY-FICA EXEMPT")</f>
        <v xml:space="preserve">          6008 - STUDENT HOURLY-FICA EXEMPT</v>
      </c>
      <c r="C99" s="11"/>
      <c r="D99" s="7">
        <v>1112.3699999999999</v>
      </c>
      <c r="E99" s="2"/>
      <c r="F99" s="6">
        <f t="shared" si="22"/>
        <v>6.6707753450273334E-3</v>
      </c>
      <c r="G99" s="2"/>
      <c r="H99" s="7">
        <v>45269.23</v>
      </c>
      <c r="I99" s="2"/>
      <c r="J99" s="6">
        <f t="shared" si="23"/>
        <v>0.13323296299021412</v>
      </c>
      <c r="K99" s="2"/>
      <c r="L99" s="7">
        <f t="shared" si="24"/>
        <v>-44156.86</v>
      </c>
      <c r="M99" s="2"/>
      <c r="N99" s="6">
        <f t="shared" si="25"/>
        <v>-0.97542768012621373</v>
      </c>
      <c r="O99" s="11"/>
      <c r="P99" s="7">
        <v>7444.36</v>
      </c>
      <c r="Q99" s="2"/>
      <c r="R99" s="6">
        <f t="shared" si="26"/>
        <v>5.0371854397168007E-3</v>
      </c>
      <c r="S99" s="2"/>
      <c r="T99" s="7">
        <v>313138.36</v>
      </c>
      <c r="U99" s="2"/>
      <c r="V99" s="6">
        <f t="shared" si="27"/>
        <v>0.10755161656277466</v>
      </c>
      <c r="W99" s="2"/>
      <c r="X99" s="7">
        <f t="shared" si="28"/>
        <v>-305694</v>
      </c>
      <c r="Y99" s="2"/>
      <c r="Z99" s="6">
        <f t="shared" si="29"/>
        <v>-0.97622661113764542</v>
      </c>
    </row>
    <row r="100" spans="1:26" s="24" customFormat="1" hidden="1" outlineLevel="2" x14ac:dyDescent="0.25">
      <c r="A100" s="26"/>
      <c r="B100" s="11" t="str">
        <f>CONCATENATE("          ", "6009", " - ", "TEMPORARY-SEASONAL")</f>
        <v xml:space="preserve">          6009 - TEMPORARY-SEASONAL</v>
      </c>
      <c r="C100" s="11"/>
      <c r="D100" s="7"/>
      <c r="E100" s="2"/>
      <c r="F100" s="6">
        <f t="shared" si="22"/>
        <v>0</v>
      </c>
      <c r="G100" s="2"/>
      <c r="H100" s="7">
        <v>0</v>
      </c>
      <c r="I100" s="2"/>
      <c r="J100" s="6">
        <f t="shared" si="23"/>
        <v>0</v>
      </c>
      <c r="K100" s="2"/>
      <c r="L100" s="7">
        <f t="shared" si="24"/>
        <v>0</v>
      </c>
      <c r="M100" s="2"/>
      <c r="N100" s="6">
        <f t="shared" si="25"/>
        <v>0</v>
      </c>
      <c r="O100" s="11"/>
      <c r="P100" s="7"/>
      <c r="Q100" s="2"/>
      <c r="R100" s="6">
        <f t="shared" si="26"/>
        <v>0</v>
      </c>
      <c r="S100" s="2"/>
      <c r="T100" s="7">
        <v>0</v>
      </c>
      <c r="U100" s="2"/>
      <c r="V100" s="6">
        <f t="shared" si="27"/>
        <v>0</v>
      </c>
      <c r="W100" s="2"/>
      <c r="X100" s="7">
        <f t="shared" si="28"/>
        <v>0</v>
      </c>
      <c r="Y100" s="2"/>
      <c r="Z100" s="6">
        <f t="shared" si="29"/>
        <v>0</v>
      </c>
    </row>
    <row r="101" spans="1:26" s="24" customFormat="1" hidden="1" outlineLevel="2" x14ac:dyDescent="0.25">
      <c r="A101" s="26"/>
      <c r="B101" s="11" t="str">
        <f>CONCATENATE("          ", "6010", " - ", "GRATUITY")</f>
        <v xml:space="preserve">          6010 - GRATUITY</v>
      </c>
      <c r="C101" s="11"/>
      <c r="D101" s="7"/>
      <c r="E101" s="2"/>
      <c r="F101" s="6">
        <f t="shared" si="22"/>
        <v>0</v>
      </c>
      <c r="G101" s="2"/>
      <c r="H101" s="7">
        <v>0</v>
      </c>
      <c r="I101" s="2"/>
      <c r="J101" s="6">
        <f t="shared" si="23"/>
        <v>0</v>
      </c>
      <c r="K101" s="2"/>
      <c r="L101" s="7">
        <f t="shared" si="24"/>
        <v>0</v>
      </c>
      <c r="M101" s="2"/>
      <c r="N101" s="6">
        <f t="shared" si="25"/>
        <v>0</v>
      </c>
      <c r="O101" s="11"/>
      <c r="P101" s="7"/>
      <c r="Q101" s="2"/>
      <c r="R101" s="6">
        <f t="shared" si="26"/>
        <v>0</v>
      </c>
      <c r="S101" s="2"/>
      <c r="T101" s="7">
        <v>0</v>
      </c>
      <c r="U101" s="2"/>
      <c r="V101" s="6">
        <f t="shared" si="27"/>
        <v>0</v>
      </c>
      <c r="W101" s="2"/>
      <c r="X101" s="7">
        <f t="shared" si="28"/>
        <v>0</v>
      </c>
      <c r="Y101" s="2"/>
      <c r="Z101" s="6">
        <f t="shared" si="29"/>
        <v>0</v>
      </c>
    </row>
    <row r="102" spans="1:26" s="25" customFormat="1" outlineLevel="1" collapsed="1" x14ac:dyDescent="0.25">
      <c r="A102" s="27"/>
      <c r="B102" s="13" t="str">
        <f>CONCATENATE("     ","Advertising/Promo                                 ")</f>
        <v xml:space="preserve">     Advertising/Promo                                 </v>
      </c>
      <c r="C102" s="13"/>
      <c r="D102" s="1">
        <f>SUM(OSRRefD22_2x_0)</f>
        <v>42.6</v>
      </c>
      <c r="E102" s="1"/>
      <c r="F102" s="5">
        <f t="shared" ref="F102:F116" si="30">IF(D$12=0,0,D102/D$12)</f>
        <v>2.5546808139213073E-4</v>
      </c>
      <c r="G102" s="1"/>
      <c r="H102" s="1">
        <f>SUM(OSRRefH22_2x_0)</f>
        <v>2130</v>
      </c>
      <c r="I102" s="1"/>
      <c r="J102" s="5">
        <f t="shared" ref="J102:J116" si="31">IF(H$12=0,0,H102/H$12)</f>
        <v>6.2688543889338529E-3</v>
      </c>
      <c r="K102" s="1"/>
      <c r="L102" s="1">
        <f t="shared" ref="L102:L116" si="32">+D102-H102</f>
        <v>-2087.4</v>
      </c>
      <c r="M102" s="1"/>
      <c r="N102" s="5">
        <f t="shared" ref="N102:N116" si="33">IF(H102=0,0,L102/H102)</f>
        <v>-0.98000000000000009</v>
      </c>
      <c r="O102" s="13"/>
      <c r="P102" s="1">
        <f>SUM(OSRRefP22_2x_0)</f>
        <v>13842.12</v>
      </c>
      <c r="Q102" s="1"/>
      <c r="R102" s="5">
        <f t="shared" ref="R102:R116" si="34">IF(P$12=0,0,P102/P$12)</f>
        <v>9.3661947190641949E-3</v>
      </c>
      <c r="S102" s="1"/>
      <c r="T102" s="1">
        <f>SUM(OSRRefT22_2x_0)</f>
        <v>8170</v>
      </c>
      <c r="U102" s="1"/>
      <c r="V102" s="5">
        <f t="shared" ref="V102:V116" si="35">IF(T$12=0,0,T102/T$12)</f>
        <v>2.8060973025402221E-3</v>
      </c>
      <c r="W102" s="1"/>
      <c r="X102" s="1">
        <f t="shared" ref="X102:X116" si="36">+P102-T102</f>
        <v>5672.1200000000008</v>
      </c>
      <c r="Y102" s="1"/>
      <c r="Z102" s="5">
        <f t="shared" ref="Z102:Z116" si="37">IF(T102=0,0,X102/T102)</f>
        <v>0.69426193390452884</v>
      </c>
    </row>
    <row r="103" spans="1:26" s="24" customFormat="1" hidden="1" outlineLevel="2" x14ac:dyDescent="0.25">
      <c r="A103" s="26"/>
      <c r="B103" s="11" t="str">
        <f>CONCATENATE("          ", "6362", " - ", "ADVERTISING EXPENSE")</f>
        <v xml:space="preserve">          6362 - ADVERTISING EXPENSE</v>
      </c>
      <c r="C103" s="11"/>
      <c r="D103" s="7">
        <v>42.6</v>
      </c>
      <c r="E103" s="2"/>
      <c r="F103" s="6">
        <f t="shared" si="30"/>
        <v>2.5546808139213073E-4</v>
      </c>
      <c r="G103" s="2"/>
      <c r="H103" s="7">
        <v>2130</v>
      </c>
      <c r="I103" s="2"/>
      <c r="J103" s="6">
        <f t="shared" si="31"/>
        <v>6.2688543889338529E-3</v>
      </c>
      <c r="K103" s="2"/>
      <c r="L103" s="7">
        <f t="shared" si="32"/>
        <v>-2087.4</v>
      </c>
      <c r="M103" s="2"/>
      <c r="N103" s="6">
        <f t="shared" si="33"/>
        <v>-0.98000000000000009</v>
      </c>
      <c r="O103" s="11"/>
      <c r="P103" s="7">
        <v>13842.12</v>
      </c>
      <c r="Q103" s="2"/>
      <c r="R103" s="6">
        <f t="shared" si="34"/>
        <v>9.3661947190641949E-3</v>
      </c>
      <c r="S103" s="2"/>
      <c r="T103" s="7">
        <v>8170</v>
      </c>
      <c r="U103" s="2"/>
      <c r="V103" s="6">
        <f t="shared" si="35"/>
        <v>2.8060973025402221E-3</v>
      </c>
      <c r="W103" s="2"/>
      <c r="X103" s="7">
        <f t="shared" si="36"/>
        <v>5672.1200000000008</v>
      </c>
      <c r="Y103" s="2"/>
      <c r="Z103" s="6">
        <f t="shared" si="37"/>
        <v>0.69426193390452884</v>
      </c>
    </row>
    <row r="104" spans="1:26" s="25" customFormat="1" outlineLevel="1" collapsed="1" x14ac:dyDescent="0.25">
      <c r="A104" s="27"/>
      <c r="B104" s="13" t="str">
        <f>CONCATENATE("     ","Bad Debts/Over/Short                              ")</f>
        <v xml:space="preserve">     Bad Debts/Over/Short                              </v>
      </c>
      <c r="C104" s="13"/>
      <c r="D104" s="1">
        <f>SUM(OSRRefD22_3x_0)</f>
        <v>-20.41</v>
      </c>
      <c r="E104" s="1"/>
      <c r="F104" s="5">
        <f t="shared" si="30"/>
        <v>-1.2239679674209831E-4</v>
      </c>
      <c r="G104" s="1"/>
      <c r="H104" s="1">
        <f>SUM(OSRRefH22_3x_0)</f>
        <v>10</v>
      </c>
      <c r="I104" s="1"/>
      <c r="J104" s="5">
        <f t="shared" si="31"/>
        <v>2.943124126260025E-5</v>
      </c>
      <c r="K104" s="1"/>
      <c r="L104" s="1">
        <f t="shared" si="32"/>
        <v>-30.41</v>
      </c>
      <c r="M104" s="1"/>
      <c r="N104" s="5">
        <f t="shared" si="33"/>
        <v>-3.0409999999999999</v>
      </c>
      <c r="O104" s="13"/>
      <c r="P104" s="1">
        <f>SUM(OSRRefP22_3x_0)</f>
        <v>-23.36</v>
      </c>
      <c r="Q104" s="1"/>
      <c r="R104" s="5">
        <f t="shared" si="34"/>
        <v>-1.5806416115258327E-5</v>
      </c>
      <c r="S104" s="1"/>
      <c r="T104" s="1">
        <f>SUM(OSRRefT22_3x_0)</f>
        <v>90</v>
      </c>
      <c r="U104" s="1"/>
      <c r="V104" s="5">
        <f t="shared" si="35"/>
        <v>3.0911720591018356E-5</v>
      </c>
      <c r="W104" s="1"/>
      <c r="X104" s="1">
        <f t="shared" si="36"/>
        <v>-113.36</v>
      </c>
      <c r="Y104" s="1"/>
      <c r="Z104" s="5">
        <f t="shared" si="37"/>
        <v>-1.2595555555555555</v>
      </c>
    </row>
    <row r="105" spans="1:26" s="24" customFormat="1" hidden="1" outlineLevel="2" x14ac:dyDescent="0.25">
      <c r="A105" s="26"/>
      <c r="B105" s="11" t="str">
        <f>CONCATENATE("          ", "6272", " - ", "CASH (OVER/SHORT)")</f>
        <v xml:space="preserve">          6272 - CASH (OVER/SHORT)</v>
      </c>
      <c r="C105" s="11"/>
      <c r="D105" s="7">
        <v>-20.41</v>
      </c>
      <c r="E105" s="2"/>
      <c r="F105" s="6">
        <f t="shared" si="30"/>
        <v>-1.2239679674209831E-4</v>
      </c>
      <c r="G105" s="2"/>
      <c r="H105" s="7">
        <v>10</v>
      </c>
      <c r="I105" s="2"/>
      <c r="J105" s="6">
        <f t="shared" si="31"/>
        <v>2.943124126260025E-5</v>
      </c>
      <c r="K105" s="2"/>
      <c r="L105" s="7">
        <f t="shared" si="32"/>
        <v>-30.41</v>
      </c>
      <c r="M105" s="2"/>
      <c r="N105" s="6">
        <f t="shared" si="33"/>
        <v>-3.0409999999999999</v>
      </c>
      <c r="O105" s="11"/>
      <c r="P105" s="7">
        <v>-23.36</v>
      </c>
      <c r="Q105" s="2"/>
      <c r="R105" s="6">
        <f t="shared" si="34"/>
        <v>-1.5806416115258327E-5</v>
      </c>
      <c r="S105" s="2"/>
      <c r="T105" s="7">
        <v>90</v>
      </c>
      <c r="U105" s="2"/>
      <c r="V105" s="6">
        <f t="shared" si="35"/>
        <v>3.0911720591018356E-5</v>
      </c>
      <c r="W105" s="2"/>
      <c r="X105" s="7">
        <f t="shared" si="36"/>
        <v>-113.36</v>
      </c>
      <c r="Y105" s="2"/>
      <c r="Z105" s="6">
        <f t="shared" si="37"/>
        <v>-1.2595555555555555</v>
      </c>
    </row>
    <row r="106" spans="1:26" s="25" customFormat="1" outlineLevel="1" collapsed="1" x14ac:dyDescent="0.25">
      <c r="A106" s="27"/>
      <c r="B106" s="13" t="str">
        <f>CONCATENATE("     ","Bank/card Fees                                    ")</f>
        <v xml:space="preserve">     Bank/card Fees                                    </v>
      </c>
      <c r="C106" s="13"/>
      <c r="D106" s="1">
        <f>SUM(OSRRefD22_4x_0)</f>
        <v>470.17</v>
      </c>
      <c r="E106" s="1"/>
      <c r="F106" s="5">
        <f t="shared" si="30"/>
        <v>2.8195640335243687E-3</v>
      </c>
      <c r="G106" s="1"/>
      <c r="H106" s="1">
        <f>SUM(OSRRefH22_4x_0)</f>
        <v>700</v>
      </c>
      <c r="I106" s="1"/>
      <c r="J106" s="5">
        <f t="shared" si="31"/>
        <v>2.0601868883820176E-3</v>
      </c>
      <c r="K106" s="1"/>
      <c r="L106" s="1">
        <f t="shared" si="32"/>
        <v>-229.82999999999998</v>
      </c>
      <c r="M106" s="1"/>
      <c r="N106" s="5">
        <f t="shared" si="33"/>
        <v>-0.32832857142857141</v>
      </c>
      <c r="O106" s="13"/>
      <c r="P106" s="1">
        <f>SUM(OSRRefP22_4x_0)</f>
        <v>3337.9</v>
      </c>
      <c r="Q106" s="1"/>
      <c r="R106" s="5">
        <f t="shared" si="34"/>
        <v>2.2585717616061974E-3</v>
      </c>
      <c r="S106" s="1"/>
      <c r="T106" s="1">
        <f>SUM(OSRRefT22_4x_0)</f>
        <v>6286</v>
      </c>
      <c r="U106" s="1"/>
      <c r="V106" s="5">
        <f t="shared" si="35"/>
        <v>2.1590119515015713E-3</v>
      </c>
      <c r="W106" s="1"/>
      <c r="X106" s="1">
        <f t="shared" si="36"/>
        <v>-2948.1</v>
      </c>
      <c r="Y106" s="1"/>
      <c r="Z106" s="5">
        <f t="shared" si="37"/>
        <v>-0.46899459115494752</v>
      </c>
    </row>
    <row r="107" spans="1:26" s="24" customFormat="1" hidden="1" outlineLevel="2" x14ac:dyDescent="0.25">
      <c r="A107" s="26"/>
      <c r="B107" s="11" t="str">
        <f>CONCATENATE("          ", "6381", " - ", "BANK/CREDIT CARD FEES")</f>
        <v xml:space="preserve">          6381 - BANK/CREDIT CARD FEES</v>
      </c>
      <c r="C107" s="11"/>
      <c r="D107" s="7">
        <v>470.17</v>
      </c>
      <c r="E107" s="2"/>
      <c r="F107" s="6">
        <f t="shared" si="30"/>
        <v>2.8195640335243687E-3</v>
      </c>
      <c r="G107" s="2"/>
      <c r="H107" s="7">
        <v>700</v>
      </c>
      <c r="I107" s="2"/>
      <c r="J107" s="6">
        <f t="shared" si="31"/>
        <v>2.0601868883820176E-3</v>
      </c>
      <c r="K107" s="2"/>
      <c r="L107" s="7">
        <f t="shared" si="32"/>
        <v>-229.82999999999998</v>
      </c>
      <c r="M107" s="2"/>
      <c r="N107" s="6">
        <f t="shared" si="33"/>
        <v>-0.32832857142857141</v>
      </c>
      <c r="O107" s="11"/>
      <c r="P107" s="7">
        <v>3337.9</v>
      </c>
      <c r="Q107" s="2"/>
      <c r="R107" s="6">
        <f t="shared" si="34"/>
        <v>2.2585717616061974E-3</v>
      </c>
      <c r="S107" s="2"/>
      <c r="T107" s="7">
        <v>6286</v>
      </c>
      <c r="U107" s="2"/>
      <c r="V107" s="6">
        <f t="shared" si="35"/>
        <v>2.1590119515015713E-3</v>
      </c>
      <c r="W107" s="2"/>
      <c r="X107" s="7">
        <f t="shared" si="36"/>
        <v>-2948.1</v>
      </c>
      <c r="Y107" s="2"/>
      <c r="Z107" s="6">
        <f t="shared" si="37"/>
        <v>-0.46899459115494752</v>
      </c>
    </row>
    <row r="108" spans="1:26" s="25" customFormat="1" outlineLevel="1" collapsed="1" x14ac:dyDescent="0.25">
      <c r="A108" s="27"/>
      <c r="B108" s="13" t="str">
        <f>CONCATENATE("     ","Discounts and Markdowns                           ")</f>
        <v xml:space="preserve">     Discounts and Markdowns                           </v>
      </c>
      <c r="C108" s="13"/>
      <c r="D108" s="1">
        <f>SUM(OSRRefD22_5x_0)</f>
        <v>0</v>
      </c>
      <c r="E108" s="1"/>
      <c r="F108" s="5">
        <f t="shared" si="30"/>
        <v>0</v>
      </c>
      <c r="G108" s="1"/>
      <c r="H108" s="1">
        <f>SUM(OSRRefH22_5x_0)</f>
        <v>26478</v>
      </c>
      <c r="I108" s="1"/>
      <c r="J108" s="5">
        <f t="shared" si="31"/>
        <v>7.7928040615112937E-2</v>
      </c>
      <c r="K108" s="1"/>
      <c r="L108" s="1">
        <f t="shared" si="32"/>
        <v>-26478</v>
      </c>
      <c r="M108" s="1"/>
      <c r="N108" s="5">
        <f t="shared" si="33"/>
        <v>-1</v>
      </c>
      <c r="O108" s="13"/>
      <c r="P108" s="1">
        <f>SUM(OSRRefP22_5x_0)</f>
        <v>0</v>
      </c>
      <c r="Q108" s="1"/>
      <c r="R108" s="5">
        <f t="shared" si="34"/>
        <v>0</v>
      </c>
      <c r="S108" s="1"/>
      <c r="T108" s="1">
        <f>SUM(OSRRefT22_5x_0)</f>
        <v>228928</v>
      </c>
      <c r="U108" s="1"/>
      <c r="V108" s="5">
        <f t="shared" si="35"/>
        <v>7.8628426349562783E-2</v>
      </c>
      <c r="W108" s="1"/>
      <c r="X108" s="1">
        <f t="shared" si="36"/>
        <v>-228928</v>
      </c>
      <c r="Y108" s="1"/>
      <c r="Z108" s="5">
        <f t="shared" si="37"/>
        <v>-1</v>
      </c>
    </row>
    <row r="109" spans="1:26" s="24" customFormat="1" hidden="1" outlineLevel="2" x14ac:dyDescent="0.25">
      <c r="A109" s="26"/>
      <c r="B109" s="11" t="str">
        <f>CONCATENATE("          ", "6382", " - ", "DISCOUNTS/MARK DOWNS")</f>
        <v xml:space="preserve">          6382 - DISCOUNTS/MARK DOWNS</v>
      </c>
      <c r="C109" s="11"/>
      <c r="D109" s="7">
        <v>0</v>
      </c>
      <c r="E109" s="2"/>
      <c r="F109" s="6">
        <f t="shared" si="30"/>
        <v>0</v>
      </c>
      <c r="G109" s="2"/>
      <c r="H109" s="7">
        <v>26478</v>
      </c>
      <c r="I109" s="2"/>
      <c r="J109" s="6">
        <f t="shared" si="31"/>
        <v>7.7928040615112937E-2</v>
      </c>
      <c r="K109" s="2"/>
      <c r="L109" s="7">
        <f t="shared" si="32"/>
        <v>-26478</v>
      </c>
      <c r="M109" s="2"/>
      <c r="N109" s="6">
        <f t="shared" si="33"/>
        <v>-1</v>
      </c>
      <c r="O109" s="11"/>
      <c r="P109" s="7">
        <v>0</v>
      </c>
      <c r="Q109" s="2"/>
      <c r="R109" s="6">
        <f t="shared" si="34"/>
        <v>0</v>
      </c>
      <c r="S109" s="2"/>
      <c r="T109" s="7">
        <v>228928</v>
      </c>
      <c r="U109" s="2"/>
      <c r="V109" s="6">
        <f t="shared" si="35"/>
        <v>7.8628426349562783E-2</v>
      </c>
      <c r="W109" s="2"/>
      <c r="X109" s="7">
        <f t="shared" si="36"/>
        <v>-228928</v>
      </c>
      <c r="Y109" s="2"/>
      <c r="Z109" s="6">
        <f t="shared" si="37"/>
        <v>-1</v>
      </c>
    </row>
    <row r="110" spans="1:26" s="25" customFormat="1" outlineLevel="1" collapsed="1" x14ac:dyDescent="0.25">
      <c r="A110" s="27"/>
      <c r="B110" s="13" t="str">
        <f>CONCATENATE("     ","Donations                                         ")</f>
        <v xml:space="preserve">     Donations                                         </v>
      </c>
      <c r="C110" s="13"/>
      <c r="D110" s="1">
        <f>SUM(OSRRefD22_6x_0)</f>
        <v>0</v>
      </c>
      <c r="E110" s="1"/>
      <c r="F110" s="5">
        <f t="shared" si="30"/>
        <v>0</v>
      </c>
      <c r="G110" s="1"/>
      <c r="H110" s="1">
        <f>SUM(OSRRefH22_6x_0)</f>
        <v>0</v>
      </c>
      <c r="I110" s="1"/>
      <c r="J110" s="5">
        <f t="shared" si="31"/>
        <v>0</v>
      </c>
      <c r="K110" s="1"/>
      <c r="L110" s="1">
        <f t="shared" si="32"/>
        <v>0</v>
      </c>
      <c r="M110" s="1"/>
      <c r="N110" s="5">
        <f t="shared" si="33"/>
        <v>0</v>
      </c>
      <c r="O110" s="13"/>
      <c r="P110" s="1">
        <f>SUM(OSRRefP22_6x_0)</f>
        <v>0</v>
      </c>
      <c r="Q110" s="1"/>
      <c r="R110" s="5">
        <f t="shared" si="34"/>
        <v>0</v>
      </c>
      <c r="S110" s="1"/>
      <c r="T110" s="1">
        <f>SUM(OSRRefT22_6x_0)</f>
        <v>0</v>
      </c>
      <c r="U110" s="1"/>
      <c r="V110" s="5">
        <f t="shared" si="35"/>
        <v>0</v>
      </c>
      <c r="W110" s="1"/>
      <c r="X110" s="1">
        <f t="shared" si="36"/>
        <v>0</v>
      </c>
      <c r="Y110" s="1"/>
      <c r="Z110" s="5">
        <f t="shared" si="37"/>
        <v>0</v>
      </c>
    </row>
    <row r="111" spans="1:26" s="24" customFormat="1" hidden="1" outlineLevel="2" x14ac:dyDescent="0.25">
      <c r="A111" s="26"/>
      <c r="B111" s="11" t="str">
        <f>CONCATENATE("          ", "6395", " - ", "DONATION-OFF CAMPUS")</f>
        <v xml:space="preserve">          6395 - DONATION-OFF CAMPUS</v>
      </c>
      <c r="C111" s="11"/>
      <c r="D111" s="7"/>
      <c r="E111" s="2"/>
      <c r="F111" s="6">
        <f t="shared" si="30"/>
        <v>0</v>
      </c>
      <c r="G111" s="2"/>
      <c r="H111" s="7"/>
      <c r="I111" s="2"/>
      <c r="J111" s="6">
        <f t="shared" si="31"/>
        <v>0</v>
      </c>
      <c r="K111" s="2"/>
      <c r="L111" s="7">
        <f t="shared" si="32"/>
        <v>0</v>
      </c>
      <c r="M111" s="2"/>
      <c r="N111" s="6">
        <f t="shared" si="33"/>
        <v>0</v>
      </c>
      <c r="O111" s="11"/>
      <c r="P111" s="7"/>
      <c r="Q111" s="2"/>
      <c r="R111" s="6">
        <f t="shared" si="34"/>
        <v>0</v>
      </c>
      <c r="S111" s="2"/>
      <c r="T111" s="7">
        <v>0</v>
      </c>
      <c r="U111" s="2"/>
      <c r="V111" s="6">
        <f t="shared" si="35"/>
        <v>0</v>
      </c>
      <c r="W111" s="2"/>
      <c r="X111" s="7">
        <f t="shared" si="36"/>
        <v>0</v>
      </c>
      <c r="Y111" s="2"/>
      <c r="Z111" s="6">
        <f t="shared" si="37"/>
        <v>0</v>
      </c>
    </row>
    <row r="112" spans="1:26" s="25" customFormat="1" outlineLevel="1" collapsed="1" x14ac:dyDescent="0.25">
      <c r="A112" s="27"/>
      <c r="B112" s="13" t="str">
        <f>CONCATENATE("     ","Employees' Appreciation                           ")</f>
        <v xml:space="preserve">     Employees' Appreciation                           </v>
      </c>
      <c r="C112" s="13"/>
      <c r="D112" s="1">
        <f>SUM(OSRRefD22_7x_0)</f>
        <v>0</v>
      </c>
      <c r="E112" s="1"/>
      <c r="F112" s="5">
        <f t="shared" si="30"/>
        <v>0</v>
      </c>
      <c r="G112" s="1"/>
      <c r="H112" s="1">
        <f>SUM(OSRRefH22_7x_0)</f>
        <v>200</v>
      </c>
      <c r="I112" s="1"/>
      <c r="J112" s="5">
        <f t="shared" si="31"/>
        <v>5.8862482525200502E-4</v>
      </c>
      <c r="K112" s="1"/>
      <c r="L112" s="1">
        <f t="shared" si="32"/>
        <v>-200</v>
      </c>
      <c r="M112" s="1"/>
      <c r="N112" s="5">
        <f t="shared" si="33"/>
        <v>-1</v>
      </c>
      <c r="O112" s="13"/>
      <c r="P112" s="1">
        <f>SUM(OSRRefP22_7x_0)</f>
        <v>0</v>
      </c>
      <c r="Q112" s="1"/>
      <c r="R112" s="5">
        <f t="shared" si="34"/>
        <v>0</v>
      </c>
      <c r="S112" s="1"/>
      <c r="T112" s="1">
        <f>SUM(OSRRefT22_7x_0)</f>
        <v>1800</v>
      </c>
      <c r="U112" s="1"/>
      <c r="V112" s="5">
        <f t="shared" si="35"/>
        <v>6.1823441182036715E-4</v>
      </c>
      <c r="W112" s="1"/>
      <c r="X112" s="1">
        <f t="shared" si="36"/>
        <v>-1800</v>
      </c>
      <c r="Y112" s="1"/>
      <c r="Z112" s="5">
        <f t="shared" si="37"/>
        <v>-1</v>
      </c>
    </row>
    <row r="113" spans="1:26" s="24" customFormat="1" hidden="1" outlineLevel="2" x14ac:dyDescent="0.25">
      <c r="A113" s="26"/>
      <c r="B113" s="11" t="str">
        <f>CONCATENATE("          ", "6277", " - ", "EMPLOYEE APPRECIATION")</f>
        <v xml:space="preserve">          6277 - EMPLOYEE APPRECIATION</v>
      </c>
      <c r="C113" s="11"/>
      <c r="D113" s="7"/>
      <c r="E113" s="2"/>
      <c r="F113" s="6">
        <f t="shared" si="30"/>
        <v>0</v>
      </c>
      <c r="G113" s="2"/>
      <c r="H113" s="7">
        <v>200</v>
      </c>
      <c r="I113" s="2"/>
      <c r="J113" s="6">
        <f t="shared" si="31"/>
        <v>5.8862482525200502E-4</v>
      </c>
      <c r="K113" s="2"/>
      <c r="L113" s="7">
        <f t="shared" si="32"/>
        <v>-200</v>
      </c>
      <c r="M113" s="2"/>
      <c r="N113" s="6">
        <f t="shared" si="33"/>
        <v>-1</v>
      </c>
      <c r="O113" s="11"/>
      <c r="P113" s="7"/>
      <c r="Q113" s="2"/>
      <c r="R113" s="6">
        <f t="shared" si="34"/>
        <v>0</v>
      </c>
      <c r="S113" s="2"/>
      <c r="T113" s="7">
        <v>1800</v>
      </c>
      <c r="U113" s="2"/>
      <c r="V113" s="6">
        <f t="shared" si="35"/>
        <v>6.1823441182036715E-4</v>
      </c>
      <c r="W113" s="2"/>
      <c r="X113" s="7">
        <f t="shared" si="36"/>
        <v>-1800</v>
      </c>
      <c r="Y113" s="2"/>
      <c r="Z113" s="6">
        <f t="shared" si="37"/>
        <v>-1</v>
      </c>
    </row>
    <row r="114" spans="1:26" s="25" customFormat="1" outlineLevel="1" collapsed="1" x14ac:dyDescent="0.25">
      <c r="A114" s="27"/>
      <c r="B114" s="13" t="str">
        <f>CONCATENATE("     ","Freight out/Postage                               ")</f>
        <v xml:space="preserve">     Freight out/Postage                               </v>
      </c>
      <c r="C114" s="13"/>
      <c r="D114" s="1">
        <f>SUM(OSRRefD22_8x_0)</f>
        <v>-502.63</v>
      </c>
      <c r="E114" s="1"/>
      <c r="F114" s="5">
        <f t="shared" si="30"/>
        <v>-3.0142235152611891E-3</v>
      </c>
      <c r="G114" s="1"/>
      <c r="H114" s="1">
        <f>SUM(OSRRefH22_8x_0)</f>
        <v>10</v>
      </c>
      <c r="I114" s="1"/>
      <c r="J114" s="5">
        <f t="shared" si="31"/>
        <v>2.943124126260025E-5</v>
      </c>
      <c r="K114" s="1"/>
      <c r="L114" s="1">
        <f t="shared" si="32"/>
        <v>-512.63</v>
      </c>
      <c r="M114" s="1"/>
      <c r="N114" s="5">
        <f t="shared" si="33"/>
        <v>-51.262999999999998</v>
      </c>
      <c r="O114" s="13"/>
      <c r="P114" s="1">
        <f>SUM(OSRRefP22_8x_0)</f>
        <v>-216.09999999999997</v>
      </c>
      <c r="Q114" s="1"/>
      <c r="R114" s="5">
        <f t="shared" si="34"/>
        <v>-1.4622288195664912E-4</v>
      </c>
      <c r="S114" s="1"/>
      <c r="T114" s="1">
        <f>SUM(OSRRefT22_8x_0)</f>
        <v>90</v>
      </c>
      <c r="U114" s="1"/>
      <c r="V114" s="5">
        <f t="shared" si="35"/>
        <v>3.0911720591018356E-5</v>
      </c>
      <c r="W114" s="1"/>
      <c r="X114" s="1">
        <f t="shared" si="36"/>
        <v>-306.09999999999997</v>
      </c>
      <c r="Y114" s="1"/>
      <c r="Z114" s="5">
        <f t="shared" si="37"/>
        <v>-3.4011111111111108</v>
      </c>
    </row>
    <row r="115" spans="1:26" s="24" customFormat="1" hidden="1" outlineLevel="2" x14ac:dyDescent="0.25">
      <c r="A115" s="26"/>
      <c r="B115" s="11" t="str">
        <f>CONCATENATE("          ", "6305", " - ", "FREIGHT OUT")</f>
        <v xml:space="preserve">          6305 - FREIGHT OUT</v>
      </c>
      <c r="C115" s="11"/>
      <c r="D115" s="7">
        <v>-233.44</v>
      </c>
      <c r="E115" s="2"/>
      <c r="F115" s="6">
        <f t="shared" si="30"/>
        <v>-1.3999171108023238E-3</v>
      </c>
      <c r="G115" s="2"/>
      <c r="H115" s="7"/>
      <c r="I115" s="2"/>
      <c r="J115" s="6">
        <f t="shared" si="31"/>
        <v>0</v>
      </c>
      <c r="K115" s="2"/>
      <c r="L115" s="7">
        <f t="shared" si="32"/>
        <v>-233.44</v>
      </c>
      <c r="M115" s="2"/>
      <c r="N115" s="6">
        <f t="shared" si="33"/>
        <v>0</v>
      </c>
      <c r="O115" s="11"/>
      <c r="P115" s="7">
        <v>73.239999999999995</v>
      </c>
      <c r="Q115" s="2"/>
      <c r="R115" s="6">
        <f t="shared" si="34"/>
        <v>4.955744504629793E-5</v>
      </c>
      <c r="S115" s="2"/>
      <c r="T115" s="7"/>
      <c r="U115" s="2"/>
      <c r="V115" s="6">
        <f t="shared" si="35"/>
        <v>0</v>
      </c>
      <c r="W115" s="2"/>
      <c r="X115" s="7">
        <f t="shared" si="36"/>
        <v>73.239999999999995</v>
      </c>
      <c r="Y115" s="2"/>
      <c r="Z115" s="6">
        <f t="shared" si="37"/>
        <v>0</v>
      </c>
    </row>
    <row r="116" spans="1:26" s="24" customFormat="1" hidden="1" outlineLevel="2" x14ac:dyDescent="0.25">
      <c r="A116" s="26"/>
      <c r="B116" s="11" t="str">
        <f>CONCATENATE("          ", "6307", " - ", "POSTAGE")</f>
        <v xml:space="preserve">          6307 - POSTAGE</v>
      </c>
      <c r="C116" s="11"/>
      <c r="D116" s="7">
        <v>-269.19</v>
      </c>
      <c r="E116" s="2"/>
      <c r="F116" s="6">
        <f t="shared" si="30"/>
        <v>-1.6143064044588655E-3</v>
      </c>
      <c r="G116" s="2"/>
      <c r="H116" s="7">
        <v>10</v>
      </c>
      <c r="I116" s="2"/>
      <c r="J116" s="6">
        <f t="shared" si="31"/>
        <v>2.943124126260025E-5</v>
      </c>
      <c r="K116" s="2"/>
      <c r="L116" s="7">
        <f t="shared" si="32"/>
        <v>-279.19</v>
      </c>
      <c r="M116" s="2"/>
      <c r="N116" s="6">
        <f t="shared" si="33"/>
        <v>-27.919</v>
      </c>
      <c r="O116" s="11"/>
      <c r="P116" s="7">
        <v>-289.33999999999997</v>
      </c>
      <c r="Q116" s="2"/>
      <c r="R116" s="6">
        <f t="shared" si="34"/>
        <v>-1.9578032700294707E-4</v>
      </c>
      <c r="S116" s="2"/>
      <c r="T116" s="7">
        <v>90</v>
      </c>
      <c r="U116" s="2"/>
      <c r="V116" s="6">
        <f t="shared" si="35"/>
        <v>3.0911720591018356E-5</v>
      </c>
      <c r="W116" s="2"/>
      <c r="X116" s="7">
        <f t="shared" si="36"/>
        <v>-379.34</v>
      </c>
      <c r="Y116" s="2"/>
      <c r="Z116" s="6">
        <f t="shared" si="37"/>
        <v>-4.2148888888888889</v>
      </c>
    </row>
    <row r="117" spans="1:26" s="25" customFormat="1" outlineLevel="1" collapsed="1" x14ac:dyDescent="0.25">
      <c r="A117" s="27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SUM(OSRRefD22_9x_0)</f>
        <v>0</v>
      </c>
      <c r="E117" s="1"/>
      <c r="F117" s="5">
        <f t="shared" ref="F117:F119" si="38">IF(D$12=0,0,D117/D$12)</f>
        <v>0</v>
      </c>
      <c r="G117" s="1"/>
      <c r="H117" s="1">
        <f>SUM(OSRRefH22_9x_0)</f>
        <v>50</v>
      </c>
      <c r="I117" s="1"/>
      <c r="J117" s="5">
        <f t="shared" ref="J117:J119" si="39">IF(H$12=0,0,H117/H$12)</f>
        <v>1.4715620631300125E-4</v>
      </c>
      <c r="K117" s="1"/>
      <c r="L117" s="1">
        <f t="shared" ref="L117:L119" si="40">+D117-H117</f>
        <v>-50</v>
      </c>
      <c r="M117" s="1"/>
      <c r="N117" s="5">
        <f t="shared" ref="N117:N119" si="41">IF(H117=0,0,L117/H117)</f>
        <v>-1</v>
      </c>
      <c r="O117" s="13"/>
      <c r="P117" s="1">
        <f>SUM(OSRRefP22_9x_0)</f>
        <v>1285.46</v>
      </c>
      <c r="Q117" s="1"/>
      <c r="R117" s="5">
        <f t="shared" ref="R117:R119" si="42">IF(P$12=0,0,P117/P$12)</f>
        <v>8.6979947172602606E-4</v>
      </c>
      <c r="S117" s="1"/>
      <c r="T117" s="1">
        <f>SUM(OSRRefT22_9x_0)</f>
        <v>2250</v>
      </c>
      <c r="U117" s="1"/>
      <c r="V117" s="5">
        <f t="shared" ref="V117:V119" si="43">IF(T$12=0,0,T117/T$12)</f>
        <v>7.7279301477545899E-4</v>
      </c>
      <c r="W117" s="1"/>
      <c r="X117" s="1">
        <f t="shared" ref="X117:X119" si="44">+P117-T117</f>
        <v>-964.54</v>
      </c>
      <c r="Y117" s="1"/>
      <c r="Z117" s="5">
        <f t="shared" ref="Z117:Z119" si="45">IF(T117=0,0,X117/T117)</f>
        <v>-0.42868444444444442</v>
      </c>
    </row>
    <row r="118" spans="1:26" s="24" customFormat="1" hidden="1" outlineLevel="2" x14ac:dyDescent="0.25">
      <c r="A118" s="26"/>
      <c r="B118" s="11" t="str">
        <f>CONCATENATE("          ", "6276", " - ", "PROPERTY TAX")</f>
        <v xml:space="preserve">          6276 - PROPERTY TAX</v>
      </c>
      <c r="C118" s="11"/>
      <c r="D118" s="7"/>
      <c r="E118" s="2"/>
      <c r="F118" s="6">
        <f t="shared" si="38"/>
        <v>0</v>
      </c>
      <c r="G118" s="2"/>
      <c r="H118" s="7"/>
      <c r="I118" s="2"/>
      <c r="J118" s="6">
        <f t="shared" si="39"/>
        <v>0</v>
      </c>
      <c r="K118" s="2"/>
      <c r="L118" s="7">
        <f t="shared" si="40"/>
        <v>0</v>
      </c>
      <c r="M118" s="2"/>
      <c r="N118" s="6">
        <f t="shared" si="41"/>
        <v>0</v>
      </c>
      <c r="O118" s="11"/>
      <c r="P118" s="7"/>
      <c r="Q118" s="2"/>
      <c r="R118" s="6">
        <f t="shared" si="42"/>
        <v>0</v>
      </c>
      <c r="S118" s="2"/>
      <c r="T118" s="7">
        <v>150</v>
      </c>
      <c r="U118" s="2"/>
      <c r="V118" s="6">
        <f t="shared" si="43"/>
        <v>5.1519534318363933E-5</v>
      </c>
      <c r="W118" s="2"/>
      <c r="X118" s="7">
        <f t="shared" si="44"/>
        <v>-150</v>
      </c>
      <c r="Y118" s="2"/>
      <c r="Z118" s="6">
        <f t="shared" si="45"/>
        <v>-1</v>
      </c>
    </row>
    <row r="119" spans="1:26" s="24" customFormat="1" hidden="1" outlineLevel="2" x14ac:dyDescent="0.25">
      <c r="A119" s="26"/>
      <c r="B119" s="11" t="str">
        <f>CONCATENATE("          ", "6279", " - ", "GENERAL EXPENSE")</f>
        <v xml:space="preserve">          6279 - GENERAL EXPENSE</v>
      </c>
      <c r="C119" s="11"/>
      <c r="D119" s="7"/>
      <c r="E119" s="2"/>
      <c r="F119" s="6">
        <f t="shared" si="38"/>
        <v>0</v>
      </c>
      <c r="G119" s="2"/>
      <c r="H119" s="7">
        <v>50</v>
      </c>
      <c r="I119" s="2"/>
      <c r="J119" s="6">
        <f t="shared" si="39"/>
        <v>1.4715620631300125E-4</v>
      </c>
      <c r="K119" s="2"/>
      <c r="L119" s="7">
        <f t="shared" si="40"/>
        <v>-50</v>
      </c>
      <c r="M119" s="2"/>
      <c r="N119" s="6">
        <f t="shared" si="41"/>
        <v>-1</v>
      </c>
      <c r="O119" s="11"/>
      <c r="P119" s="7">
        <v>1285.46</v>
      </c>
      <c r="Q119" s="2"/>
      <c r="R119" s="6">
        <f t="shared" si="42"/>
        <v>8.6979947172602606E-4</v>
      </c>
      <c r="S119" s="2"/>
      <c r="T119" s="7">
        <v>2100</v>
      </c>
      <c r="U119" s="2"/>
      <c r="V119" s="6">
        <f t="shared" si="43"/>
        <v>7.2127348045709504E-4</v>
      </c>
      <c r="W119" s="2"/>
      <c r="X119" s="7">
        <f t="shared" si="44"/>
        <v>-814.54</v>
      </c>
      <c r="Y119" s="2"/>
      <c r="Z119" s="6">
        <f t="shared" si="45"/>
        <v>-0.38787619047619049</v>
      </c>
    </row>
    <row r="120" spans="1:26" s="25" customFormat="1" outlineLevel="1" collapsed="1" x14ac:dyDescent="0.25">
      <c r="A120" s="27"/>
      <c r="B120" s="13" t="str">
        <f>CONCATENATE("     ","Insurance                                         ")</f>
        <v xml:space="preserve">     Insurance                                         </v>
      </c>
      <c r="C120" s="13"/>
      <c r="D120" s="1">
        <f>SUM(OSRRefD22_10x_0)</f>
        <v>161.18</v>
      </c>
      <c r="E120" s="1"/>
      <c r="F120" s="5">
        <f t="shared" ref="F120:F124" si="46">IF(D$12=0,0,D120/D$12)</f>
        <v>9.6658087696675191E-4</v>
      </c>
      <c r="G120" s="1"/>
      <c r="H120" s="1">
        <f>SUM(OSRRefH22_10x_0)</f>
        <v>176</v>
      </c>
      <c r="I120" s="1"/>
      <c r="J120" s="5">
        <f t="shared" ref="J120:J124" si="47">IF(H$12=0,0,H120/H$12)</f>
        <v>5.1798984622176438E-4</v>
      </c>
      <c r="K120" s="1"/>
      <c r="L120" s="1">
        <f t="shared" ref="L120:L124" si="48">+D120-H120</f>
        <v>-14.819999999999993</v>
      </c>
      <c r="M120" s="1"/>
      <c r="N120" s="5">
        <f t="shared" ref="N120:N124" si="49">IF(H120=0,0,L120/H120)</f>
        <v>-8.4204545454545421E-2</v>
      </c>
      <c r="O120" s="13"/>
      <c r="P120" s="1">
        <f>SUM(OSRRefP22_10x_0)</f>
        <v>1450.62</v>
      </c>
      <c r="Q120" s="1"/>
      <c r="R120" s="5">
        <f t="shared" ref="R120:R124" si="50">IF(P$12=0,0,P120/P$12)</f>
        <v>9.8155408155462453E-4</v>
      </c>
      <c r="S120" s="1"/>
      <c r="T120" s="1">
        <f>SUM(OSRRefT22_10x_0)</f>
        <v>1584</v>
      </c>
      <c r="U120" s="1"/>
      <c r="V120" s="5">
        <f t="shared" ref="V120:V124" si="51">IF(T$12=0,0,T120/T$12)</f>
        <v>5.440462824019231E-4</v>
      </c>
      <c r="W120" s="1"/>
      <c r="X120" s="1">
        <f t="shared" ref="X120:X124" si="52">+P120-T120</f>
        <v>-133.38000000000011</v>
      </c>
      <c r="Y120" s="1"/>
      <c r="Z120" s="5">
        <f t="shared" ref="Z120:Z124" si="53">IF(T120=0,0,X120/T120)</f>
        <v>-8.4204545454545518E-2</v>
      </c>
    </row>
    <row r="121" spans="1:26" s="24" customFormat="1" hidden="1" outlineLevel="2" x14ac:dyDescent="0.25">
      <c r="A121" s="26"/>
      <c r="B121" s="11" t="str">
        <f>CONCATENATE("          ", "6314", " - ", "LIABILITY INSURANCE")</f>
        <v xml:space="preserve">          6314 - LIABILITY INSURANCE</v>
      </c>
      <c r="C121" s="11"/>
      <c r="D121" s="7">
        <v>161.18</v>
      </c>
      <c r="E121" s="2"/>
      <c r="F121" s="6">
        <f t="shared" si="46"/>
        <v>9.6658087696675191E-4</v>
      </c>
      <c r="G121" s="2"/>
      <c r="H121" s="7">
        <v>176</v>
      </c>
      <c r="I121" s="2"/>
      <c r="J121" s="6">
        <f t="shared" si="47"/>
        <v>5.1798984622176438E-4</v>
      </c>
      <c r="K121" s="2"/>
      <c r="L121" s="7">
        <f t="shared" si="48"/>
        <v>-14.819999999999993</v>
      </c>
      <c r="M121" s="2"/>
      <c r="N121" s="6">
        <f t="shared" si="49"/>
        <v>-8.4204545454545421E-2</v>
      </c>
      <c r="O121" s="11"/>
      <c r="P121" s="7">
        <v>1450.62</v>
      </c>
      <c r="Q121" s="2"/>
      <c r="R121" s="6">
        <f t="shared" si="50"/>
        <v>9.8155408155462453E-4</v>
      </c>
      <c r="S121" s="2"/>
      <c r="T121" s="7">
        <v>1584</v>
      </c>
      <c r="U121" s="2"/>
      <c r="V121" s="6">
        <f t="shared" si="51"/>
        <v>5.440462824019231E-4</v>
      </c>
      <c r="W121" s="2"/>
      <c r="X121" s="7">
        <f t="shared" si="52"/>
        <v>-133.38000000000011</v>
      </c>
      <c r="Y121" s="2"/>
      <c r="Z121" s="6">
        <f t="shared" si="53"/>
        <v>-8.4204545454545518E-2</v>
      </c>
    </row>
    <row r="122" spans="1:26" s="25" customFormat="1" outlineLevel="1" collapsed="1" x14ac:dyDescent="0.25">
      <c r="A122" s="27"/>
      <c r="B122" s="13" t="str">
        <f>CONCATENATE("     ","Inventory Adjustment                              ")</f>
        <v xml:space="preserve">     Inventory Adjustment                              </v>
      </c>
      <c r="C122" s="13"/>
      <c r="D122" s="1">
        <f>SUM(OSRRefD22_11x_0)</f>
        <v>1100</v>
      </c>
      <c r="E122" s="1"/>
      <c r="F122" s="5">
        <f t="shared" si="46"/>
        <v>6.5965936509705114E-3</v>
      </c>
      <c r="G122" s="1"/>
      <c r="H122" s="1">
        <f>SUM(OSRRefH22_11x_0)</f>
        <v>1100</v>
      </c>
      <c r="I122" s="1"/>
      <c r="J122" s="5">
        <f t="shared" si="47"/>
        <v>3.2374365388860276E-3</v>
      </c>
      <c r="K122" s="1"/>
      <c r="L122" s="1">
        <f t="shared" si="48"/>
        <v>0</v>
      </c>
      <c r="M122" s="1"/>
      <c r="N122" s="5">
        <f t="shared" si="49"/>
        <v>0</v>
      </c>
      <c r="O122" s="13"/>
      <c r="P122" s="1">
        <f>SUM(OSRRefP22_11x_0)</f>
        <v>9900</v>
      </c>
      <c r="Q122" s="1"/>
      <c r="R122" s="5">
        <f t="shared" si="50"/>
        <v>6.6987808022712942E-3</v>
      </c>
      <c r="S122" s="1"/>
      <c r="T122" s="1">
        <f>SUM(OSRRefT22_11x_0)</f>
        <v>9900</v>
      </c>
      <c r="U122" s="1"/>
      <c r="V122" s="5">
        <f t="shared" si="51"/>
        <v>3.4002892650120196E-3</v>
      </c>
      <c r="W122" s="1"/>
      <c r="X122" s="1">
        <f t="shared" si="52"/>
        <v>0</v>
      </c>
      <c r="Y122" s="1"/>
      <c r="Z122" s="5">
        <f t="shared" si="53"/>
        <v>0</v>
      </c>
    </row>
    <row r="123" spans="1:26" s="24" customFormat="1" hidden="1" outlineLevel="2" x14ac:dyDescent="0.25">
      <c r="A123" s="26"/>
      <c r="B123" s="11" t="str">
        <f>CONCATENATE("          ", "6408", " - ", "INVENTORY ADJUSTMENT")</f>
        <v xml:space="preserve">          6408 - INVENTORY ADJUSTMENT</v>
      </c>
      <c r="C123" s="11"/>
      <c r="D123" s="7">
        <v>1100</v>
      </c>
      <c r="E123" s="2"/>
      <c r="F123" s="6">
        <f t="shared" si="46"/>
        <v>6.5965936509705114E-3</v>
      </c>
      <c r="G123" s="2"/>
      <c r="H123" s="7">
        <v>1100</v>
      </c>
      <c r="I123" s="2"/>
      <c r="J123" s="6">
        <f t="shared" si="47"/>
        <v>3.2374365388860276E-3</v>
      </c>
      <c r="K123" s="2"/>
      <c r="L123" s="7">
        <f t="shared" si="48"/>
        <v>0</v>
      </c>
      <c r="M123" s="2"/>
      <c r="N123" s="6">
        <f t="shared" si="49"/>
        <v>0</v>
      </c>
      <c r="O123" s="11"/>
      <c r="P123" s="7">
        <v>9900</v>
      </c>
      <c r="Q123" s="2"/>
      <c r="R123" s="6">
        <f t="shared" si="50"/>
        <v>6.6987808022712942E-3</v>
      </c>
      <c r="S123" s="2"/>
      <c r="T123" s="7">
        <v>9900</v>
      </c>
      <c r="U123" s="2"/>
      <c r="V123" s="6">
        <f t="shared" si="51"/>
        <v>3.4002892650120196E-3</v>
      </c>
      <c r="W123" s="2"/>
      <c r="X123" s="7">
        <f t="shared" si="52"/>
        <v>0</v>
      </c>
      <c r="Y123" s="2"/>
      <c r="Z123" s="6">
        <f t="shared" si="53"/>
        <v>0</v>
      </c>
    </row>
    <row r="124" spans="1:26" s="24" customFormat="1" hidden="1" outlineLevel="2" x14ac:dyDescent="0.25">
      <c r="A124" s="26"/>
      <c r="B124" s="11" t="str">
        <f>CONCATENATE("          ", "7741", " - ", "INV. SHRINKAGE-LOGO GIFTS")</f>
        <v xml:space="preserve">          7741 - INV. SHRINKAGE-LOGO GIFTS</v>
      </c>
      <c r="C124" s="11"/>
      <c r="D124" s="7"/>
      <c r="E124" s="2"/>
      <c r="F124" s="6">
        <f t="shared" si="46"/>
        <v>0</v>
      </c>
      <c r="G124" s="2"/>
      <c r="H124" s="7"/>
      <c r="I124" s="2"/>
      <c r="J124" s="6">
        <f t="shared" si="47"/>
        <v>0</v>
      </c>
      <c r="K124" s="2"/>
      <c r="L124" s="7">
        <f t="shared" si="48"/>
        <v>0</v>
      </c>
      <c r="M124" s="2"/>
      <c r="N124" s="6">
        <f t="shared" si="49"/>
        <v>0</v>
      </c>
      <c r="O124" s="11"/>
      <c r="P124" s="7">
        <v>0</v>
      </c>
      <c r="Q124" s="2"/>
      <c r="R124" s="6">
        <f t="shared" si="50"/>
        <v>0</v>
      </c>
      <c r="S124" s="2"/>
      <c r="T124" s="7"/>
      <c r="U124" s="2"/>
      <c r="V124" s="6">
        <f t="shared" si="51"/>
        <v>0</v>
      </c>
      <c r="W124" s="2"/>
      <c r="X124" s="7">
        <f t="shared" si="52"/>
        <v>0</v>
      </c>
      <c r="Y124" s="2"/>
      <c r="Z124" s="6">
        <f t="shared" si="53"/>
        <v>0</v>
      </c>
    </row>
    <row r="125" spans="1:26" s="25" customFormat="1" outlineLevel="1" collapsed="1" x14ac:dyDescent="0.25">
      <c r="A125" s="27"/>
      <c r="B125" s="13" t="str">
        <f>CONCATENATE("     ","Professional Services                             ")</f>
        <v xml:space="preserve">     Professional Services                             </v>
      </c>
      <c r="C125" s="13"/>
      <c r="D125" s="1">
        <f>SUM(OSRRefD22_12x_0)</f>
        <v>0</v>
      </c>
      <c r="E125" s="1"/>
      <c r="F125" s="5">
        <f t="shared" ref="F125:F132" si="54">IF(D$12=0,0,D125/D$12)</f>
        <v>0</v>
      </c>
      <c r="G125" s="1"/>
      <c r="H125" s="1">
        <f>SUM(OSRRefH22_12x_0)</f>
        <v>0</v>
      </c>
      <c r="I125" s="1"/>
      <c r="J125" s="5">
        <f t="shared" ref="J125:J132" si="55">IF(H$12=0,0,H125/H$12)</f>
        <v>0</v>
      </c>
      <c r="K125" s="1"/>
      <c r="L125" s="1">
        <f t="shared" ref="L125:L132" si="56">+D125-H125</f>
        <v>0</v>
      </c>
      <c r="M125" s="1"/>
      <c r="N125" s="5">
        <f t="shared" ref="N125:N132" si="57">IF(H125=0,0,L125/H125)</f>
        <v>0</v>
      </c>
      <c r="O125" s="13"/>
      <c r="P125" s="1">
        <f>SUM(OSRRefP22_12x_0)</f>
        <v>0</v>
      </c>
      <c r="Q125" s="1"/>
      <c r="R125" s="5">
        <f t="shared" ref="R125:R132" si="58">IF(P$12=0,0,P125/P$12)</f>
        <v>0</v>
      </c>
      <c r="S125" s="1"/>
      <c r="T125" s="1">
        <f>SUM(OSRRefT22_12x_0)</f>
        <v>6250</v>
      </c>
      <c r="U125" s="1"/>
      <c r="V125" s="5">
        <f t="shared" ref="V125:V132" si="59">IF(T$12=0,0,T125/T$12)</f>
        <v>2.1466472632651638E-3</v>
      </c>
      <c r="W125" s="1"/>
      <c r="X125" s="1">
        <f t="shared" ref="X125:X132" si="60">+P125-T125</f>
        <v>-6250</v>
      </c>
      <c r="Y125" s="1"/>
      <c r="Z125" s="5">
        <f t="shared" ref="Z125:Z132" si="61">IF(T125=0,0,X125/T125)</f>
        <v>-1</v>
      </c>
    </row>
    <row r="126" spans="1:26" s="24" customFormat="1" hidden="1" outlineLevel="2" x14ac:dyDescent="0.25">
      <c r="A126" s="26"/>
      <c r="B126" s="11" t="str">
        <f>CONCATENATE("          ", "6336", " - ", "PROFESSIONAL SERVICES")</f>
        <v xml:space="preserve">          6336 - PROFESSIONAL SERVICES</v>
      </c>
      <c r="C126" s="11"/>
      <c r="D126" s="7"/>
      <c r="E126" s="2"/>
      <c r="F126" s="6">
        <f t="shared" si="54"/>
        <v>0</v>
      </c>
      <c r="G126" s="2"/>
      <c r="H126" s="7">
        <v>0</v>
      </c>
      <c r="I126" s="2"/>
      <c r="J126" s="6">
        <f t="shared" si="55"/>
        <v>0</v>
      </c>
      <c r="K126" s="2"/>
      <c r="L126" s="7">
        <f t="shared" si="56"/>
        <v>0</v>
      </c>
      <c r="M126" s="2"/>
      <c r="N126" s="6">
        <f t="shared" si="57"/>
        <v>0</v>
      </c>
      <c r="O126" s="11"/>
      <c r="P126" s="7"/>
      <c r="Q126" s="2"/>
      <c r="R126" s="6">
        <f t="shared" si="58"/>
        <v>0</v>
      </c>
      <c r="S126" s="2"/>
      <c r="T126" s="7">
        <v>6250</v>
      </c>
      <c r="U126" s="2"/>
      <c r="V126" s="6">
        <f t="shared" si="59"/>
        <v>2.1466472632651638E-3</v>
      </c>
      <c r="W126" s="2"/>
      <c r="X126" s="7">
        <f t="shared" si="60"/>
        <v>-6250</v>
      </c>
      <c r="Y126" s="2"/>
      <c r="Z126" s="6">
        <f t="shared" si="61"/>
        <v>-1</v>
      </c>
    </row>
    <row r="127" spans="1:26" s="25" customFormat="1" outlineLevel="1" collapsed="1" x14ac:dyDescent="0.25">
      <c r="A127" s="27"/>
      <c r="B127" s="13" t="str">
        <f>CONCATENATE("     ","Rent                                              ")</f>
        <v xml:space="preserve">     Rent                                              </v>
      </c>
      <c r="C127" s="13"/>
      <c r="D127" s="1">
        <f>SUM(OSRRefD22_13x_0)</f>
        <v>6900</v>
      </c>
      <c r="E127" s="1"/>
      <c r="F127" s="5">
        <f t="shared" si="54"/>
        <v>4.1378632901542298E-2</v>
      </c>
      <c r="G127" s="1"/>
      <c r="H127" s="1">
        <f>SUM(OSRRefH22_13x_0)</f>
        <v>6900</v>
      </c>
      <c r="I127" s="1"/>
      <c r="J127" s="5">
        <f t="shared" si="55"/>
        <v>2.0307556471194171E-2</v>
      </c>
      <c r="K127" s="1"/>
      <c r="L127" s="1">
        <f t="shared" si="56"/>
        <v>0</v>
      </c>
      <c r="M127" s="1"/>
      <c r="N127" s="5">
        <f t="shared" si="57"/>
        <v>0</v>
      </c>
      <c r="O127" s="13"/>
      <c r="P127" s="1">
        <f>SUM(OSRRefP22_13x_0)</f>
        <v>62100</v>
      </c>
      <c r="Q127" s="1"/>
      <c r="R127" s="5">
        <f t="shared" si="58"/>
        <v>4.2019625032429023E-2</v>
      </c>
      <c r="S127" s="1"/>
      <c r="T127" s="1">
        <f>SUM(OSRRefT22_13x_0)</f>
        <v>62101</v>
      </c>
      <c r="U127" s="1"/>
      <c r="V127" s="5">
        <f t="shared" si="59"/>
        <v>2.132943067136479E-2</v>
      </c>
      <c r="W127" s="1"/>
      <c r="X127" s="1">
        <f t="shared" si="60"/>
        <v>-1</v>
      </c>
      <c r="Y127" s="1"/>
      <c r="Z127" s="5">
        <f t="shared" si="61"/>
        <v>-1.6102800276968164E-5</v>
      </c>
    </row>
    <row r="128" spans="1:26" s="24" customFormat="1" hidden="1" outlineLevel="2" x14ac:dyDescent="0.25">
      <c r="A128" s="26"/>
      <c r="B128" s="11" t="str">
        <f>CONCATENATE("          ", "6273", " - ", "RENT")</f>
        <v xml:space="preserve">          6273 - RENT</v>
      </c>
      <c r="C128" s="11"/>
      <c r="D128" s="7">
        <v>6900</v>
      </c>
      <c r="E128" s="2"/>
      <c r="F128" s="6">
        <f t="shared" si="54"/>
        <v>4.1378632901542298E-2</v>
      </c>
      <c r="G128" s="2"/>
      <c r="H128" s="7">
        <v>6900</v>
      </c>
      <c r="I128" s="2"/>
      <c r="J128" s="6">
        <f t="shared" si="55"/>
        <v>2.0307556471194171E-2</v>
      </c>
      <c r="K128" s="2"/>
      <c r="L128" s="7">
        <f t="shared" si="56"/>
        <v>0</v>
      </c>
      <c r="M128" s="2"/>
      <c r="N128" s="6">
        <f t="shared" si="57"/>
        <v>0</v>
      </c>
      <c r="O128" s="11"/>
      <c r="P128" s="7">
        <v>62100</v>
      </c>
      <c r="Q128" s="2"/>
      <c r="R128" s="6">
        <f t="shared" si="58"/>
        <v>4.2019625032429023E-2</v>
      </c>
      <c r="S128" s="2"/>
      <c r="T128" s="7">
        <v>62101</v>
      </c>
      <c r="U128" s="2"/>
      <c r="V128" s="6">
        <f t="shared" si="59"/>
        <v>2.132943067136479E-2</v>
      </c>
      <c r="W128" s="2"/>
      <c r="X128" s="7">
        <f t="shared" si="60"/>
        <v>-1</v>
      </c>
      <c r="Y128" s="2"/>
      <c r="Z128" s="6">
        <f t="shared" si="61"/>
        <v>-1.6102800276968164E-5</v>
      </c>
    </row>
    <row r="129" spans="1:26" s="25" customFormat="1" outlineLevel="1" collapsed="1" x14ac:dyDescent="0.25">
      <c r="A129" s="27"/>
      <c r="B129" s="13" t="str">
        <f>CONCATENATE("     ","Repair and Maintenance                            ")</f>
        <v xml:space="preserve">     Repair and Maintenance                            </v>
      </c>
      <c r="C129" s="13"/>
      <c r="D129" s="1">
        <f>SUM(OSRRefD22_14x_0)</f>
        <v>213.79</v>
      </c>
      <c r="E129" s="1"/>
      <c r="F129" s="5">
        <f t="shared" si="54"/>
        <v>1.2820779605827142E-3</v>
      </c>
      <c r="G129" s="1"/>
      <c r="H129" s="1">
        <f>SUM(OSRRefH22_14x_0)</f>
        <v>200</v>
      </c>
      <c r="I129" s="1"/>
      <c r="J129" s="5">
        <f t="shared" si="55"/>
        <v>5.8862482525200502E-4</v>
      </c>
      <c r="K129" s="1"/>
      <c r="L129" s="1">
        <f t="shared" si="56"/>
        <v>13.789999999999992</v>
      </c>
      <c r="M129" s="1"/>
      <c r="N129" s="5">
        <f t="shared" si="57"/>
        <v>6.8949999999999956E-2</v>
      </c>
      <c r="O129" s="13"/>
      <c r="P129" s="1">
        <f>SUM(OSRRefP22_14x_0)</f>
        <v>309.70999999999998</v>
      </c>
      <c r="Q129" s="1"/>
      <c r="R129" s="5">
        <f t="shared" si="58"/>
        <v>2.0956357598701436E-4</v>
      </c>
      <c r="S129" s="1"/>
      <c r="T129" s="1">
        <f>SUM(OSRRefT22_14x_0)</f>
        <v>2150</v>
      </c>
      <c r="U129" s="1"/>
      <c r="V129" s="5">
        <f t="shared" si="59"/>
        <v>7.3844665856321635E-4</v>
      </c>
      <c r="W129" s="1"/>
      <c r="X129" s="1">
        <f t="shared" si="60"/>
        <v>-1840.29</v>
      </c>
      <c r="Y129" s="1"/>
      <c r="Z129" s="5">
        <f t="shared" si="61"/>
        <v>-0.85594883720930226</v>
      </c>
    </row>
    <row r="130" spans="1:26" s="24" customFormat="1" hidden="1" outlineLevel="2" x14ac:dyDescent="0.25">
      <c r="A130" s="26"/>
      <c r="B130" s="11" t="str">
        <f>CONCATENATE("          ", "6372", " - ", "COMPUTER HARDWARE MAINTENANCE")</f>
        <v xml:space="preserve">          6372 - COMPUTER HARDWARE MAINTENANCE</v>
      </c>
      <c r="C130" s="11"/>
      <c r="D130" s="7"/>
      <c r="E130" s="2"/>
      <c r="F130" s="6">
        <f t="shared" si="54"/>
        <v>0</v>
      </c>
      <c r="G130" s="2"/>
      <c r="H130" s="7"/>
      <c r="I130" s="2"/>
      <c r="J130" s="6">
        <f t="shared" si="55"/>
        <v>0</v>
      </c>
      <c r="K130" s="2"/>
      <c r="L130" s="7">
        <f t="shared" si="56"/>
        <v>0</v>
      </c>
      <c r="M130" s="2"/>
      <c r="N130" s="6">
        <f t="shared" si="57"/>
        <v>0</v>
      </c>
      <c r="O130" s="11"/>
      <c r="P130" s="7">
        <v>-0.52</v>
      </c>
      <c r="Q130" s="2"/>
      <c r="R130" s="6">
        <f t="shared" si="58"/>
        <v>-3.5185515325061341E-7</v>
      </c>
      <c r="S130" s="2"/>
      <c r="T130" s="7"/>
      <c r="U130" s="2"/>
      <c r="V130" s="6">
        <f t="shared" si="59"/>
        <v>0</v>
      </c>
      <c r="W130" s="2"/>
      <c r="X130" s="7">
        <f t="shared" si="60"/>
        <v>-0.52</v>
      </c>
      <c r="Y130" s="2"/>
      <c r="Z130" s="6">
        <f t="shared" si="61"/>
        <v>0</v>
      </c>
    </row>
    <row r="131" spans="1:26" s="24" customFormat="1" hidden="1" outlineLevel="2" x14ac:dyDescent="0.25">
      <c r="A131" s="26"/>
      <c r="B131" s="11" t="str">
        <f>CONCATENATE("          ", "6373", " - ", "MAINTENANCE CONTRACTS")</f>
        <v xml:space="preserve">          6373 - MAINTENANCE CONTRACTS</v>
      </c>
      <c r="C131" s="11"/>
      <c r="D131" s="7">
        <v>48.23</v>
      </c>
      <c r="E131" s="2"/>
      <c r="F131" s="6">
        <f t="shared" si="54"/>
        <v>2.8923064707846158E-4</v>
      </c>
      <c r="G131" s="2"/>
      <c r="H131" s="7"/>
      <c r="I131" s="2"/>
      <c r="J131" s="6">
        <f t="shared" si="55"/>
        <v>0</v>
      </c>
      <c r="K131" s="2"/>
      <c r="L131" s="7">
        <f t="shared" si="56"/>
        <v>48.23</v>
      </c>
      <c r="M131" s="2"/>
      <c r="N131" s="6">
        <f t="shared" si="57"/>
        <v>0</v>
      </c>
      <c r="O131" s="11"/>
      <c r="P131" s="7">
        <v>144.66999999999999</v>
      </c>
      <c r="Q131" s="2"/>
      <c r="R131" s="6">
        <f t="shared" si="58"/>
        <v>9.7890163501473536E-5</v>
      </c>
      <c r="S131" s="2"/>
      <c r="T131" s="7"/>
      <c r="U131" s="2"/>
      <c r="V131" s="6">
        <f t="shared" si="59"/>
        <v>0</v>
      </c>
      <c r="W131" s="2"/>
      <c r="X131" s="7">
        <f t="shared" si="60"/>
        <v>144.66999999999999</v>
      </c>
      <c r="Y131" s="2"/>
      <c r="Z131" s="6">
        <f t="shared" si="61"/>
        <v>0</v>
      </c>
    </row>
    <row r="132" spans="1:26" s="24" customFormat="1" hidden="1" outlineLevel="2" x14ac:dyDescent="0.25">
      <c r="A132" s="26"/>
      <c r="B132" s="11" t="str">
        <f>CONCATENATE("          ", "6375", " - ", "OUTSIDE REPAIRS &amp; MAINTENANCE")</f>
        <v xml:space="preserve">          6375 - OUTSIDE REPAIRS &amp; MAINTENANCE</v>
      </c>
      <c r="C132" s="11"/>
      <c r="D132" s="7">
        <v>165.56</v>
      </c>
      <c r="E132" s="2"/>
      <c r="F132" s="6">
        <f t="shared" si="54"/>
        <v>9.9284731350425255E-4</v>
      </c>
      <c r="G132" s="2"/>
      <c r="H132" s="7">
        <v>200</v>
      </c>
      <c r="I132" s="2"/>
      <c r="J132" s="6">
        <f t="shared" si="55"/>
        <v>5.8862482525200502E-4</v>
      </c>
      <c r="K132" s="2"/>
      <c r="L132" s="7">
        <f t="shared" si="56"/>
        <v>-34.44</v>
      </c>
      <c r="M132" s="2"/>
      <c r="N132" s="6">
        <f t="shared" si="57"/>
        <v>-0.17219999999999999</v>
      </c>
      <c r="O132" s="11"/>
      <c r="P132" s="7">
        <v>165.56</v>
      </c>
      <c r="Q132" s="2"/>
      <c r="R132" s="6">
        <f t="shared" si="58"/>
        <v>1.1202526763879146E-4</v>
      </c>
      <c r="S132" s="2"/>
      <c r="T132" s="7">
        <v>2150</v>
      </c>
      <c r="U132" s="2"/>
      <c r="V132" s="6">
        <f t="shared" si="59"/>
        <v>7.3844665856321635E-4</v>
      </c>
      <c r="W132" s="2"/>
      <c r="X132" s="7">
        <f t="shared" si="60"/>
        <v>-1984.44</v>
      </c>
      <c r="Y132" s="2"/>
      <c r="Z132" s="6">
        <f t="shared" si="61"/>
        <v>-0.92299534883720935</v>
      </c>
    </row>
    <row r="133" spans="1:26" s="25" customFormat="1" outlineLevel="1" collapsed="1" x14ac:dyDescent="0.25">
      <c r="A133" s="27"/>
      <c r="B133" s="13" t="str">
        <f>CONCATENATE("     ","Royalty &amp; Commissions                             ")</f>
        <v xml:space="preserve">     Royalty &amp; Commissions                             </v>
      </c>
      <c r="C133" s="13"/>
      <c r="D133" s="1">
        <f>SUM(OSRRefD22_15x_0)</f>
        <v>0</v>
      </c>
      <c r="E133" s="1"/>
      <c r="F133" s="5">
        <f t="shared" ref="F133:F136" si="62">IF(D$12=0,0,D133/D$12)</f>
        <v>0</v>
      </c>
      <c r="G133" s="1"/>
      <c r="H133" s="1">
        <f>SUM(OSRRefH22_15x_0)</f>
        <v>6271</v>
      </c>
      <c r="I133" s="1"/>
      <c r="J133" s="5">
        <f t="shared" ref="J133:J136" si="63">IF(H$12=0,0,H133/H$12)</f>
        <v>1.8456331395776616E-2</v>
      </c>
      <c r="K133" s="1"/>
      <c r="L133" s="1">
        <f t="shared" ref="L133:L136" si="64">+D133-H133</f>
        <v>-6271</v>
      </c>
      <c r="M133" s="1"/>
      <c r="N133" s="5">
        <f t="shared" ref="N133:N136" si="65">IF(H133=0,0,L133/H133)</f>
        <v>-1</v>
      </c>
      <c r="O133" s="13"/>
      <c r="P133" s="1">
        <f>SUM(OSRRefP22_15x_0)</f>
        <v>26197.58</v>
      </c>
      <c r="Q133" s="1"/>
      <c r="R133" s="5">
        <f t="shared" ref="R133:R136" si="66">IF(P$12=0,0,P133/P$12)</f>
        <v>1.7726449087875396E-2</v>
      </c>
      <c r="S133" s="1"/>
      <c r="T133" s="1">
        <f>SUM(OSRRefT22_15x_0)</f>
        <v>56439</v>
      </c>
      <c r="U133" s="1"/>
      <c r="V133" s="5">
        <f t="shared" ref="V133:V136" si="67">IF(T$12=0,0,T133/T$12)</f>
        <v>1.9384739982627613E-2</v>
      </c>
      <c r="W133" s="1"/>
      <c r="X133" s="1">
        <f t="shared" ref="X133:X136" si="68">+P133-T133</f>
        <v>-30241.42</v>
      </c>
      <c r="Y133" s="1"/>
      <c r="Z133" s="5">
        <f t="shared" ref="Z133:Z136" si="69">IF(T133=0,0,X133/T133)</f>
        <v>-0.53582487287159586</v>
      </c>
    </row>
    <row r="134" spans="1:26" s="24" customFormat="1" hidden="1" outlineLevel="2" x14ac:dyDescent="0.25">
      <c r="A134" s="26"/>
      <c r="B134" s="11" t="str">
        <f>CONCATENATE("          ", "6252", " - ", "ROYALTY DUE CSTV")</f>
        <v xml:space="preserve">          6252 - ROYALTY DUE CSTV</v>
      </c>
      <c r="C134" s="11"/>
      <c r="D134" s="7"/>
      <c r="E134" s="2"/>
      <c r="F134" s="6">
        <f t="shared" si="62"/>
        <v>0</v>
      </c>
      <c r="G134" s="2"/>
      <c r="H134" s="7">
        <v>1085</v>
      </c>
      <c r="I134" s="2"/>
      <c r="J134" s="6">
        <f t="shared" si="63"/>
        <v>3.1932896769921271E-3</v>
      </c>
      <c r="K134" s="2"/>
      <c r="L134" s="7">
        <f t="shared" si="64"/>
        <v>-1085</v>
      </c>
      <c r="M134" s="2"/>
      <c r="N134" s="6">
        <f t="shared" si="65"/>
        <v>-1</v>
      </c>
      <c r="O134" s="11"/>
      <c r="P134" s="7"/>
      <c r="Q134" s="2"/>
      <c r="R134" s="6">
        <f t="shared" si="66"/>
        <v>0</v>
      </c>
      <c r="S134" s="2"/>
      <c r="T134" s="7">
        <v>9765</v>
      </c>
      <c r="U134" s="2"/>
      <c r="V134" s="6">
        <f t="shared" si="67"/>
        <v>3.3539216841254921E-3</v>
      </c>
      <c r="W134" s="2"/>
      <c r="X134" s="7">
        <f t="shared" si="68"/>
        <v>-9765</v>
      </c>
      <c r="Y134" s="2"/>
      <c r="Z134" s="6">
        <f t="shared" si="69"/>
        <v>-1</v>
      </c>
    </row>
    <row r="135" spans="1:26" s="24" customFormat="1" hidden="1" outlineLevel="2" x14ac:dyDescent="0.25">
      <c r="A135" s="26"/>
      <c r="B135" s="11" t="str">
        <f>CONCATENATE("          ", "6253", " - ", "ROYALTY DUE ATHLETICS-LRG")</f>
        <v xml:space="preserve">          6253 - ROYALTY DUE ATHLETICS-LRG</v>
      </c>
      <c r="C135" s="11"/>
      <c r="D135" s="7"/>
      <c r="E135" s="2"/>
      <c r="F135" s="6">
        <f t="shared" si="62"/>
        <v>0</v>
      </c>
      <c r="G135" s="2"/>
      <c r="H135" s="7">
        <v>4037</v>
      </c>
      <c r="I135" s="2"/>
      <c r="J135" s="6">
        <f t="shared" si="63"/>
        <v>1.1881392097711722E-2</v>
      </c>
      <c r="K135" s="2"/>
      <c r="L135" s="7">
        <f t="shared" si="64"/>
        <v>-4037</v>
      </c>
      <c r="M135" s="2"/>
      <c r="N135" s="6">
        <f t="shared" si="65"/>
        <v>-1</v>
      </c>
      <c r="O135" s="11"/>
      <c r="P135" s="7">
        <v>26197.58</v>
      </c>
      <c r="Q135" s="2"/>
      <c r="R135" s="6">
        <f t="shared" si="66"/>
        <v>1.7726449087875396E-2</v>
      </c>
      <c r="S135" s="2"/>
      <c r="T135" s="7">
        <v>36333</v>
      </c>
      <c r="U135" s="2"/>
      <c r="V135" s="6">
        <f t="shared" si="67"/>
        <v>1.2479061602594111E-2</v>
      </c>
      <c r="W135" s="2"/>
      <c r="X135" s="7">
        <f t="shared" si="68"/>
        <v>-10135.419999999998</v>
      </c>
      <c r="Y135" s="2"/>
      <c r="Z135" s="6">
        <f t="shared" si="69"/>
        <v>-0.27895907301901846</v>
      </c>
    </row>
    <row r="136" spans="1:26" s="24" customFormat="1" hidden="1" outlineLevel="2" x14ac:dyDescent="0.25">
      <c r="A136" s="26"/>
      <c r="B136" s="11" t="str">
        <f>CONCATENATE("          ", "6254", " - ", "ROYALTY &amp; COMMISSIONS")</f>
        <v xml:space="preserve">          6254 - ROYALTY &amp; COMMISSIONS</v>
      </c>
      <c r="C136" s="11"/>
      <c r="D136" s="7"/>
      <c r="E136" s="2"/>
      <c r="F136" s="6">
        <f t="shared" si="62"/>
        <v>0</v>
      </c>
      <c r="G136" s="2"/>
      <c r="H136" s="7">
        <v>1149</v>
      </c>
      <c r="I136" s="2"/>
      <c r="J136" s="6">
        <f t="shared" si="63"/>
        <v>3.3816496210727688E-3</v>
      </c>
      <c r="K136" s="2"/>
      <c r="L136" s="7">
        <f t="shared" si="64"/>
        <v>-1149</v>
      </c>
      <c r="M136" s="2"/>
      <c r="N136" s="6">
        <f t="shared" si="65"/>
        <v>-1</v>
      </c>
      <c r="O136" s="11"/>
      <c r="P136" s="7"/>
      <c r="Q136" s="2"/>
      <c r="R136" s="6">
        <f t="shared" si="66"/>
        <v>0</v>
      </c>
      <c r="S136" s="2"/>
      <c r="T136" s="7">
        <v>10341</v>
      </c>
      <c r="U136" s="2"/>
      <c r="V136" s="6">
        <f t="shared" si="67"/>
        <v>3.5517566959080093E-3</v>
      </c>
      <c r="W136" s="2"/>
      <c r="X136" s="7">
        <f t="shared" si="68"/>
        <v>-10341</v>
      </c>
      <c r="Y136" s="2"/>
      <c r="Z136" s="6">
        <f t="shared" si="69"/>
        <v>-1</v>
      </c>
    </row>
    <row r="137" spans="1:26" s="25" customFormat="1" outlineLevel="1" collapsed="1" x14ac:dyDescent="0.25">
      <c r="A137" s="27"/>
      <c r="B137" s="13" t="str">
        <f>CONCATENATE("     ","Services                                          ")</f>
        <v xml:space="preserve">     Services                                          </v>
      </c>
      <c r="C137" s="13"/>
      <c r="D137" s="1">
        <f>SUM(OSRRefD22_16x_0)</f>
        <v>250.83999999999997</v>
      </c>
      <c r="E137" s="1"/>
      <c r="F137" s="5">
        <f t="shared" ref="F137:F140" si="70">IF(D$12=0,0,D137/D$12)</f>
        <v>1.504263228554039E-3</v>
      </c>
      <c r="G137" s="1"/>
      <c r="H137" s="1">
        <f>SUM(OSRRefH22_16x_0)</f>
        <v>210</v>
      </c>
      <c r="I137" s="1"/>
      <c r="J137" s="5">
        <f t="shared" ref="J137:J140" si="71">IF(H$12=0,0,H137/H$12)</f>
        <v>6.180560665146052E-4</v>
      </c>
      <c r="K137" s="1"/>
      <c r="L137" s="1">
        <f t="shared" ref="L137:L140" si="72">+D137-H137</f>
        <v>40.839999999999975</v>
      </c>
      <c r="M137" s="1"/>
      <c r="N137" s="5">
        <f t="shared" ref="N137:N140" si="73">IF(H137=0,0,L137/H137)</f>
        <v>0.19447619047619036</v>
      </c>
      <c r="O137" s="13"/>
      <c r="P137" s="1">
        <f>SUM(OSRRefP22_16x_0)</f>
        <v>607.34</v>
      </c>
      <c r="Q137" s="1"/>
      <c r="R137" s="5">
        <f t="shared" ref="R137:R140" si="74">IF(P$12=0,0,P137/P$12)</f>
        <v>4.1095328610620685E-4</v>
      </c>
      <c r="S137" s="1"/>
      <c r="T137" s="1">
        <f>SUM(OSRRefT22_16x_0)</f>
        <v>1885</v>
      </c>
      <c r="U137" s="1"/>
      <c r="V137" s="5">
        <f t="shared" ref="V137:V140" si="75">IF(T$12=0,0,T137/T$12)</f>
        <v>6.4742881460077336E-4</v>
      </c>
      <c r="W137" s="1"/>
      <c r="X137" s="1">
        <f t="shared" ref="X137:X140" si="76">+P137-T137</f>
        <v>-1277.6599999999999</v>
      </c>
      <c r="Y137" s="1"/>
      <c r="Z137" s="5">
        <f t="shared" ref="Z137:Z140" si="77">IF(T137=0,0,X137/T137)</f>
        <v>-0.6778037135278514</v>
      </c>
    </row>
    <row r="138" spans="1:26" s="24" customFormat="1" hidden="1" outlineLevel="2" x14ac:dyDescent="0.25">
      <c r="A138" s="26"/>
      <c r="B138" s="11" t="str">
        <f>CONCATENATE("          ", "6283", " - ", "PLANT SERVICE")</f>
        <v xml:space="preserve">          6283 - PLANT SERVICE</v>
      </c>
      <c r="C138" s="11"/>
      <c r="D138" s="7"/>
      <c r="E138" s="2"/>
      <c r="F138" s="6">
        <f t="shared" si="70"/>
        <v>0</v>
      </c>
      <c r="G138" s="2"/>
      <c r="H138" s="7">
        <v>0</v>
      </c>
      <c r="I138" s="2"/>
      <c r="J138" s="6">
        <f t="shared" si="71"/>
        <v>0</v>
      </c>
      <c r="K138" s="2"/>
      <c r="L138" s="7">
        <f t="shared" si="72"/>
        <v>0</v>
      </c>
      <c r="M138" s="2"/>
      <c r="N138" s="6">
        <f t="shared" si="73"/>
        <v>0</v>
      </c>
      <c r="O138" s="11"/>
      <c r="P138" s="7">
        <v>41.31</v>
      </c>
      <c r="Q138" s="2"/>
      <c r="R138" s="6">
        <f t="shared" si="74"/>
        <v>2.7952185347659309E-5</v>
      </c>
      <c r="S138" s="2"/>
      <c r="T138" s="7">
        <v>0</v>
      </c>
      <c r="U138" s="2"/>
      <c r="V138" s="6">
        <f t="shared" si="75"/>
        <v>0</v>
      </c>
      <c r="W138" s="2"/>
      <c r="X138" s="7">
        <f t="shared" si="76"/>
        <v>41.31</v>
      </c>
      <c r="Y138" s="2"/>
      <c r="Z138" s="6">
        <f t="shared" si="77"/>
        <v>0</v>
      </c>
    </row>
    <row r="139" spans="1:26" s="24" customFormat="1" hidden="1" outlineLevel="2" x14ac:dyDescent="0.25">
      <c r="A139" s="26"/>
      <c r="B139" s="11" t="str">
        <f>CONCATENATE("          ", "6284", " - ", "TRASH REMOVAL EXPENSE")</f>
        <v xml:space="preserve">          6284 - TRASH REMOVAL EXPENSE</v>
      </c>
      <c r="C139" s="11"/>
      <c r="D139" s="7">
        <v>142.57</v>
      </c>
      <c r="E139" s="2"/>
      <c r="F139" s="6">
        <f t="shared" si="70"/>
        <v>8.5497850619896886E-4</v>
      </c>
      <c r="G139" s="2"/>
      <c r="H139" s="7">
        <v>110</v>
      </c>
      <c r="I139" s="2"/>
      <c r="J139" s="6">
        <f t="shared" si="71"/>
        <v>3.2374365388860275E-4</v>
      </c>
      <c r="K139" s="2"/>
      <c r="L139" s="7">
        <f t="shared" si="72"/>
        <v>32.569999999999993</v>
      </c>
      <c r="M139" s="2"/>
      <c r="N139" s="6">
        <f t="shared" si="73"/>
        <v>0.29609090909090902</v>
      </c>
      <c r="O139" s="11"/>
      <c r="P139" s="7">
        <v>1298.1500000000001</v>
      </c>
      <c r="Q139" s="2"/>
      <c r="R139" s="6">
        <f t="shared" si="74"/>
        <v>8.7838609075439195E-4</v>
      </c>
      <c r="S139" s="2"/>
      <c r="T139" s="7">
        <v>660</v>
      </c>
      <c r="U139" s="2"/>
      <c r="V139" s="6">
        <f t="shared" si="75"/>
        <v>2.2668595100080129E-4</v>
      </c>
      <c r="W139" s="2"/>
      <c r="X139" s="7">
        <f t="shared" si="76"/>
        <v>638.15000000000009</v>
      </c>
      <c r="Y139" s="2"/>
      <c r="Z139" s="6">
        <f t="shared" si="77"/>
        <v>0.96689393939393953</v>
      </c>
    </row>
    <row r="140" spans="1:26" s="24" customFormat="1" hidden="1" outlineLevel="2" x14ac:dyDescent="0.25">
      <c r="A140" s="26"/>
      <c r="B140" s="11" t="str">
        <f>CONCATENATE("          ", "6285", " - ", "JANITORIAL SERVICES")</f>
        <v xml:space="preserve">          6285 - JANITORIAL SERVICES</v>
      </c>
      <c r="C140" s="11"/>
      <c r="D140" s="7">
        <v>108.27</v>
      </c>
      <c r="E140" s="2"/>
      <c r="F140" s="6">
        <f t="shared" si="70"/>
        <v>6.4928472235507026E-4</v>
      </c>
      <c r="G140" s="2"/>
      <c r="H140" s="7">
        <v>100</v>
      </c>
      <c r="I140" s="2"/>
      <c r="J140" s="6">
        <f t="shared" si="71"/>
        <v>2.9431241262600251E-4</v>
      </c>
      <c r="K140" s="2"/>
      <c r="L140" s="7">
        <f t="shared" si="72"/>
        <v>8.269999999999996</v>
      </c>
      <c r="M140" s="2"/>
      <c r="N140" s="6">
        <f t="shared" si="73"/>
        <v>8.2699999999999954E-2</v>
      </c>
      <c r="O140" s="11"/>
      <c r="P140" s="7">
        <v>-732.12</v>
      </c>
      <c r="Q140" s="2"/>
      <c r="R140" s="6">
        <f t="shared" si="74"/>
        <v>-4.9538498999584439E-4</v>
      </c>
      <c r="S140" s="2"/>
      <c r="T140" s="7">
        <v>1225</v>
      </c>
      <c r="U140" s="2"/>
      <c r="V140" s="6">
        <f t="shared" si="75"/>
        <v>4.2074286359997212E-4</v>
      </c>
      <c r="W140" s="2"/>
      <c r="X140" s="7">
        <f t="shared" si="76"/>
        <v>-1957.12</v>
      </c>
      <c r="Y140" s="2"/>
      <c r="Z140" s="6">
        <f t="shared" si="77"/>
        <v>-1.5976489795918367</v>
      </c>
    </row>
    <row r="141" spans="1:26" s="25" customFormat="1" outlineLevel="1" collapsed="1" x14ac:dyDescent="0.25">
      <c r="A141" s="27"/>
      <c r="B141" s="13" t="str">
        <f>CONCATENATE("     ","Subscriptions &amp; Dues                              ")</f>
        <v xml:space="preserve">     Subscriptions &amp; Dues                              </v>
      </c>
      <c r="C141" s="13"/>
      <c r="D141" s="1">
        <f>SUM(OSRRefD22_17x_0)</f>
        <v>75</v>
      </c>
      <c r="E141" s="1"/>
      <c r="F141" s="5">
        <f t="shared" ref="F141:F143" si="78">IF(D$12=0,0,D141/D$12)</f>
        <v>4.4976774892980761E-4</v>
      </c>
      <c r="G141" s="1"/>
      <c r="H141" s="1">
        <f>SUM(OSRRefH22_17x_0)</f>
        <v>0</v>
      </c>
      <c r="I141" s="1"/>
      <c r="J141" s="5">
        <f t="shared" ref="J141:J143" si="79">IF(H$12=0,0,H141/H$12)</f>
        <v>0</v>
      </c>
      <c r="K141" s="1"/>
      <c r="L141" s="1">
        <f t="shared" ref="L141:L143" si="80">+D141-H141</f>
        <v>75</v>
      </c>
      <c r="M141" s="1"/>
      <c r="N141" s="5">
        <f t="shared" ref="N141:N143" si="81">IF(H141=0,0,L141/H141)</f>
        <v>0</v>
      </c>
      <c r="O141" s="13"/>
      <c r="P141" s="1">
        <f>SUM(OSRRefP22_17x_0)</f>
        <v>7.7000000000000455</v>
      </c>
      <c r="Q141" s="1"/>
      <c r="R141" s="5">
        <f t="shared" ref="R141:R143" si="82">IF(P$12=0,0,P141/P$12)</f>
        <v>5.2101628462110372E-6</v>
      </c>
      <c r="S141" s="1"/>
      <c r="T141" s="1">
        <f>SUM(OSRRefT22_17x_0)</f>
        <v>1395</v>
      </c>
      <c r="U141" s="1"/>
      <c r="V141" s="5">
        <f t="shared" ref="V141:V143" si="83">IF(T$12=0,0,T141/T$12)</f>
        <v>4.7913166916078455E-4</v>
      </c>
      <c r="W141" s="1"/>
      <c r="X141" s="1">
        <f t="shared" ref="X141:X143" si="84">+P141-T141</f>
        <v>-1387.3</v>
      </c>
      <c r="Y141" s="1"/>
      <c r="Z141" s="5">
        <f t="shared" ref="Z141:Z143" si="85">IF(T141=0,0,X141/T141)</f>
        <v>-0.9944802867383512</v>
      </c>
    </row>
    <row r="142" spans="1:26" s="24" customFormat="1" hidden="1" outlineLevel="2" x14ac:dyDescent="0.25">
      <c r="A142" s="26"/>
      <c r="B142" s="11" t="str">
        <f>CONCATENATE("          ", "6258", " - ", "MEMBERSHIP DUES")</f>
        <v xml:space="preserve">          6258 - MEMBERSHIP DUES</v>
      </c>
      <c r="C142" s="11"/>
      <c r="D142" s="7"/>
      <c r="E142" s="2"/>
      <c r="F142" s="6">
        <f t="shared" si="78"/>
        <v>0</v>
      </c>
      <c r="G142" s="2"/>
      <c r="H142" s="7">
        <v>0</v>
      </c>
      <c r="I142" s="2"/>
      <c r="J142" s="6">
        <f t="shared" si="79"/>
        <v>0</v>
      </c>
      <c r="K142" s="2"/>
      <c r="L142" s="7">
        <f t="shared" si="80"/>
        <v>0</v>
      </c>
      <c r="M142" s="2"/>
      <c r="N142" s="6">
        <f t="shared" si="81"/>
        <v>0</v>
      </c>
      <c r="O142" s="11"/>
      <c r="P142" s="7">
        <v>-368.03</v>
      </c>
      <c r="Q142" s="2"/>
      <c r="R142" s="6">
        <f t="shared" si="82"/>
        <v>-2.4902548471312163E-4</v>
      </c>
      <c r="S142" s="2"/>
      <c r="T142" s="7">
        <v>1395</v>
      </c>
      <c r="U142" s="2"/>
      <c r="V142" s="6">
        <f t="shared" si="83"/>
        <v>4.7913166916078455E-4</v>
      </c>
      <c r="W142" s="2"/>
      <c r="X142" s="7">
        <f t="shared" si="84"/>
        <v>-1763.03</v>
      </c>
      <c r="Y142" s="2"/>
      <c r="Z142" s="6">
        <f t="shared" si="85"/>
        <v>-1.263820788530466</v>
      </c>
    </row>
    <row r="143" spans="1:26" s="24" customFormat="1" hidden="1" outlineLevel="2" x14ac:dyDescent="0.25">
      <c r="A143" s="26"/>
      <c r="B143" s="11" t="str">
        <f>CONCATENATE("          ", "6275", " - ", "SUBSCRIPTIONS")</f>
        <v xml:space="preserve">          6275 - SUBSCRIPTIONS</v>
      </c>
      <c r="C143" s="11"/>
      <c r="D143" s="7">
        <v>75</v>
      </c>
      <c r="E143" s="2"/>
      <c r="F143" s="6">
        <f t="shared" si="78"/>
        <v>4.4976774892980761E-4</v>
      </c>
      <c r="G143" s="2"/>
      <c r="H143" s="7">
        <v>0</v>
      </c>
      <c r="I143" s="2"/>
      <c r="J143" s="6">
        <f t="shared" si="79"/>
        <v>0</v>
      </c>
      <c r="K143" s="2"/>
      <c r="L143" s="7">
        <f t="shared" si="80"/>
        <v>75</v>
      </c>
      <c r="M143" s="2"/>
      <c r="N143" s="6">
        <f t="shared" si="81"/>
        <v>0</v>
      </c>
      <c r="O143" s="11"/>
      <c r="P143" s="7">
        <v>375.73</v>
      </c>
      <c r="Q143" s="2"/>
      <c r="R143" s="6">
        <f t="shared" si="82"/>
        <v>2.5423564755933266E-4</v>
      </c>
      <c r="S143" s="2"/>
      <c r="T143" s="7">
        <v>0</v>
      </c>
      <c r="U143" s="2"/>
      <c r="V143" s="6">
        <f t="shared" si="83"/>
        <v>0</v>
      </c>
      <c r="W143" s="2"/>
      <c r="X143" s="7">
        <f t="shared" si="84"/>
        <v>375.73</v>
      </c>
      <c r="Y143" s="2"/>
      <c r="Z143" s="6">
        <f t="shared" si="85"/>
        <v>0</v>
      </c>
    </row>
    <row r="144" spans="1:26" s="25" customFormat="1" outlineLevel="1" collapsed="1" x14ac:dyDescent="0.25">
      <c r="A144" s="27"/>
      <c r="B144" s="13" t="str">
        <f>CONCATENATE("     ","Supplies                                          ")</f>
        <v xml:space="preserve">     Supplies                                          </v>
      </c>
      <c r="C144" s="13"/>
      <c r="D144" s="1">
        <f>SUM(OSRRefD22_18x_0)</f>
        <v>266.36</v>
      </c>
      <c r="E144" s="1"/>
      <c r="F144" s="5">
        <f t="shared" ref="F144:F152" si="86">IF(D$12=0,0,D144/D$12)</f>
        <v>1.5973351680659141E-3</v>
      </c>
      <c r="G144" s="1"/>
      <c r="H144" s="1">
        <f>SUM(OSRRefH22_18x_0)</f>
        <v>620</v>
      </c>
      <c r="I144" s="1"/>
      <c r="J144" s="5">
        <f t="shared" ref="J144:J152" si="87">IF(H$12=0,0,H144/H$12)</f>
        <v>1.8247369582812154E-3</v>
      </c>
      <c r="K144" s="1"/>
      <c r="L144" s="1">
        <f t="shared" ref="L144:L152" si="88">+D144-H144</f>
        <v>-353.64</v>
      </c>
      <c r="M144" s="1"/>
      <c r="N144" s="5">
        <f t="shared" ref="N144:N152" si="89">IF(H144=0,0,L144/H144)</f>
        <v>-0.57038709677419352</v>
      </c>
      <c r="O144" s="13"/>
      <c r="P144" s="1">
        <f>SUM(OSRRefP22_18x_0)</f>
        <v>4189.1200000000008</v>
      </c>
      <c r="Q144" s="1"/>
      <c r="R144" s="5">
        <f t="shared" ref="R144:R152" si="90">IF(P$12=0,0,P144/P$12)</f>
        <v>2.8345451145869423E-3</v>
      </c>
      <c r="S144" s="1"/>
      <c r="T144" s="1">
        <f>SUM(OSRRefT22_18x_0)</f>
        <v>5635</v>
      </c>
      <c r="U144" s="1"/>
      <c r="V144" s="5">
        <f t="shared" ref="V144:V152" si="91">IF(T$12=0,0,T144/T$12)</f>
        <v>1.9354171725598718E-3</v>
      </c>
      <c r="W144" s="1"/>
      <c r="X144" s="1">
        <f t="shared" ref="X144:X152" si="92">+P144-T144</f>
        <v>-1445.8799999999992</v>
      </c>
      <c r="Y144" s="1"/>
      <c r="Z144" s="5">
        <f t="shared" ref="Z144:Z152" si="93">IF(T144=0,0,X144/T144)</f>
        <v>-0.25658917480035476</v>
      </c>
    </row>
    <row r="145" spans="1:26" s="24" customFormat="1" hidden="1" outlineLevel="2" x14ac:dyDescent="0.25">
      <c r="A145" s="26"/>
      <c r="B145" s="11" t="str">
        <f>CONCATENATE("          ", "6234", " - ", "EXPENDABLE SUPPLIES &amp; EQUIPMEN")</f>
        <v xml:space="preserve">          6234 - EXPENDABLE SUPPLIES &amp; EQUIPMEN</v>
      </c>
      <c r="C145" s="11"/>
      <c r="D145" s="7"/>
      <c r="E145" s="2"/>
      <c r="F145" s="6">
        <f t="shared" si="86"/>
        <v>0</v>
      </c>
      <c r="G145" s="2"/>
      <c r="H145" s="7">
        <v>50</v>
      </c>
      <c r="I145" s="2"/>
      <c r="J145" s="6">
        <f t="shared" si="87"/>
        <v>1.4715620631300125E-4</v>
      </c>
      <c r="K145" s="2"/>
      <c r="L145" s="7">
        <f t="shared" si="88"/>
        <v>-50</v>
      </c>
      <c r="M145" s="2"/>
      <c r="N145" s="6">
        <f t="shared" si="89"/>
        <v>-1</v>
      </c>
      <c r="O145" s="11"/>
      <c r="P145" s="7">
        <v>396.5</v>
      </c>
      <c r="Q145" s="2"/>
      <c r="R145" s="6">
        <f t="shared" si="90"/>
        <v>2.6828955435359271E-4</v>
      </c>
      <c r="S145" s="2"/>
      <c r="T145" s="7">
        <v>450</v>
      </c>
      <c r="U145" s="2"/>
      <c r="V145" s="6">
        <f t="shared" si="91"/>
        <v>1.5455860295509179E-4</v>
      </c>
      <c r="W145" s="2"/>
      <c r="X145" s="7">
        <f t="shared" si="92"/>
        <v>-53.5</v>
      </c>
      <c r="Y145" s="2"/>
      <c r="Z145" s="6">
        <f t="shared" si="93"/>
        <v>-0.11888888888888889</v>
      </c>
    </row>
    <row r="146" spans="1:26" s="24" customFormat="1" hidden="1" outlineLevel="2" x14ac:dyDescent="0.25">
      <c r="A146" s="26"/>
      <c r="B146" s="11" t="str">
        <f>CONCATENATE("          ", "6235", " - ", "COVID-19 EXPENSES")</f>
        <v xml:space="preserve">          6235 - COVID-19 EXPENSES</v>
      </c>
      <c r="C146" s="11"/>
      <c r="D146" s="7"/>
      <c r="E146" s="2"/>
      <c r="F146" s="6">
        <f t="shared" si="86"/>
        <v>0</v>
      </c>
      <c r="G146" s="2"/>
      <c r="H146" s="7">
        <v>200</v>
      </c>
      <c r="I146" s="2"/>
      <c r="J146" s="6">
        <f t="shared" si="87"/>
        <v>5.8862482525200502E-4</v>
      </c>
      <c r="K146" s="2"/>
      <c r="L146" s="7">
        <f t="shared" si="88"/>
        <v>-200</v>
      </c>
      <c r="M146" s="2"/>
      <c r="N146" s="6">
        <f t="shared" si="89"/>
        <v>-1</v>
      </c>
      <c r="O146" s="11"/>
      <c r="P146" s="7">
        <v>1292.1300000000001</v>
      </c>
      <c r="Q146" s="2"/>
      <c r="R146" s="6">
        <f t="shared" si="90"/>
        <v>8.7431269071099071E-4</v>
      </c>
      <c r="S146" s="2"/>
      <c r="T146" s="7">
        <v>1800</v>
      </c>
      <c r="U146" s="2"/>
      <c r="V146" s="6">
        <f t="shared" si="91"/>
        <v>6.1823441182036715E-4</v>
      </c>
      <c r="W146" s="2"/>
      <c r="X146" s="7">
        <f t="shared" si="92"/>
        <v>-507.86999999999989</v>
      </c>
      <c r="Y146" s="2"/>
      <c r="Z146" s="6">
        <f t="shared" si="93"/>
        <v>-0.28214999999999996</v>
      </c>
    </row>
    <row r="147" spans="1:26" s="24" customFormat="1" hidden="1" outlineLevel="2" x14ac:dyDescent="0.25">
      <c r="A147" s="26"/>
      <c r="B147" s="11" t="str">
        <f>CONCATENATE("          ", "6237", " - ", "JANITORIAL SUPPLIES")</f>
        <v xml:space="preserve">          6237 - JANITORIAL SUPPLIES</v>
      </c>
      <c r="C147" s="11"/>
      <c r="D147" s="7"/>
      <c r="E147" s="2"/>
      <c r="F147" s="6">
        <f t="shared" si="86"/>
        <v>0</v>
      </c>
      <c r="G147" s="2"/>
      <c r="H147" s="7">
        <v>70</v>
      </c>
      <c r="I147" s="2"/>
      <c r="J147" s="6">
        <f t="shared" si="87"/>
        <v>2.0601868883820176E-4</v>
      </c>
      <c r="K147" s="2"/>
      <c r="L147" s="7">
        <f t="shared" si="88"/>
        <v>-70</v>
      </c>
      <c r="M147" s="2"/>
      <c r="N147" s="6">
        <f t="shared" si="89"/>
        <v>-1</v>
      </c>
      <c r="O147" s="11"/>
      <c r="P147" s="7">
        <v>191.74</v>
      </c>
      <c r="Q147" s="2"/>
      <c r="R147" s="6">
        <f t="shared" si="90"/>
        <v>1.2973982131590889E-4</v>
      </c>
      <c r="S147" s="2"/>
      <c r="T147" s="7">
        <v>610</v>
      </c>
      <c r="U147" s="2"/>
      <c r="V147" s="6">
        <f t="shared" si="91"/>
        <v>2.0951277289468E-4</v>
      </c>
      <c r="W147" s="2"/>
      <c r="X147" s="7">
        <f t="shared" si="92"/>
        <v>-418.26</v>
      </c>
      <c r="Y147" s="2"/>
      <c r="Z147" s="6">
        <f t="shared" si="93"/>
        <v>-0.685672131147541</v>
      </c>
    </row>
    <row r="148" spans="1:26" s="24" customFormat="1" hidden="1" outlineLevel="2" x14ac:dyDescent="0.25">
      <c r="A148" s="26"/>
      <c r="B148" s="11" t="str">
        <f>CONCATENATE("          ", "6241", " - ", "OFFICE EXPENSE")</f>
        <v xml:space="preserve">          6241 - OFFICE EXPENSE</v>
      </c>
      <c r="C148" s="11"/>
      <c r="D148" s="7">
        <v>266.36</v>
      </c>
      <c r="E148" s="2"/>
      <c r="F148" s="6">
        <f t="shared" si="86"/>
        <v>1.5973351680659141E-3</v>
      </c>
      <c r="G148" s="2"/>
      <c r="H148" s="7">
        <v>125</v>
      </c>
      <c r="I148" s="2"/>
      <c r="J148" s="6">
        <f t="shared" si="87"/>
        <v>3.6789051578250314E-4</v>
      </c>
      <c r="K148" s="2"/>
      <c r="L148" s="7">
        <f t="shared" si="88"/>
        <v>141.36000000000001</v>
      </c>
      <c r="M148" s="2"/>
      <c r="N148" s="6">
        <f t="shared" si="89"/>
        <v>1.1308800000000001</v>
      </c>
      <c r="O148" s="11"/>
      <c r="P148" s="7">
        <v>1198.52</v>
      </c>
      <c r="Q148" s="2"/>
      <c r="R148" s="6">
        <f t="shared" si="90"/>
        <v>8.1097199668062536E-4</v>
      </c>
      <c r="S148" s="2"/>
      <c r="T148" s="7">
        <v>1125</v>
      </c>
      <c r="U148" s="2"/>
      <c r="V148" s="6">
        <f t="shared" si="91"/>
        <v>3.8639650738772949E-4</v>
      </c>
      <c r="W148" s="2"/>
      <c r="X148" s="7">
        <f t="shared" si="92"/>
        <v>73.519999999999982</v>
      </c>
      <c r="Y148" s="2"/>
      <c r="Z148" s="6">
        <f t="shared" si="93"/>
        <v>6.5351111111111096E-2</v>
      </c>
    </row>
    <row r="149" spans="1:26" s="24" customFormat="1" hidden="1" outlineLevel="2" x14ac:dyDescent="0.25">
      <c r="A149" s="26"/>
      <c r="B149" s="11" t="str">
        <f>CONCATENATE("          ", "6243", " - ", "PAPER SUPPLIES")</f>
        <v xml:space="preserve">          6243 - PAPER SUPPLIES</v>
      </c>
      <c r="C149" s="11"/>
      <c r="D149" s="7"/>
      <c r="E149" s="2"/>
      <c r="F149" s="6">
        <f t="shared" si="86"/>
        <v>0</v>
      </c>
      <c r="G149" s="2"/>
      <c r="H149" s="7">
        <v>50</v>
      </c>
      <c r="I149" s="2"/>
      <c r="J149" s="6">
        <f t="shared" si="87"/>
        <v>1.4715620631300125E-4</v>
      </c>
      <c r="K149" s="2"/>
      <c r="L149" s="7">
        <f t="shared" si="88"/>
        <v>-50</v>
      </c>
      <c r="M149" s="2"/>
      <c r="N149" s="6">
        <f t="shared" si="89"/>
        <v>-1</v>
      </c>
      <c r="O149" s="11"/>
      <c r="P149" s="7"/>
      <c r="Q149" s="2"/>
      <c r="R149" s="6">
        <f t="shared" si="90"/>
        <v>0</v>
      </c>
      <c r="S149" s="2"/>
      <c r="T149" s="7">
        <v>450</v>
      </c>
      <c r="U149" s="2"/>
      <c r="V149" s="6">
        <f t="shared" si="91"/>
        <v>1.5455860295509179E-4</v>
      </c>
      <c r="W149" s="2"/>
      <c r="X149" s="7">
        <f t="shared" si="92"/>
        <v>-450</v>
      </c>
      <c r="Y149" s="2"/>
      <c r="Z149" s="6">
        <f t="shared" si="93"/>
        <v>-1</v>
      </c>
    </row>
    <row r="150" spans="1:26" s="24" customFormat="1" hidden="1" outlineLevel="2" x14ac:dyDescent="0.25">
      <c r="A150" s="26"/>
      <c r="B150" s="11" t="str">
        <f>CONCATENATE("          ", "6244", " - ", "SAFETY SUPPLY EXPENSE")</f>
        <v xml:space="preserve">          6244 - SAFETY SUPPLY EXPENSE</v>
      </c>
      <c r="C150" s="11"/>
      <c r="D150" s="7"/>
      <c r="E150" s="2"/>
      <c r="F150" s="6">
        <f t="shared" si="86"/>
        <v>0</v>
      </c>
      <c r="G150" s="2"/>
      <c r="H150" s="7">
        <v>0</v>
      </c>
      <c r="I150" s="2"/>
      <c r="J150" s="6">
        <f t="shared" si="87"/>
        <v>0</v>
      </c>
      <c r="K150" s="2"/>
      <c r="L150" s="7">
        <f t="shared" si="88"/>
        <v>0</v>
      </c>
      <c r="M150" s="2"/>
      <c r="N150" s="6">
        <f t="shared" si="89"/>
        <v>0</v>
      </c>
      <c r="O150" s="11"/>
      <c r="P150" s="7"/>
      <c r="Q150" s="2"/>
      <c r="R150" s="6">
        <f t="shared" si="90"/>
        <v>0</v>
      </c>
      <c r="S150" s="2"/>
      <c r="T150" s="7">
        <v>75</v>
      </c>
      <c r="U150" s="2"/>
      <c r="V150" s="6">
        <f t="shared" si="91"/>
        <v>2.5759767159181967E-5</v>
      </c>
      <c r="W150" s="2"/>
      <c r="X150" s="7">
        <f t="shared" si="92"/>
        <v>-75</v>
      </c>
      <c r="Y150" s="2"/>
      <c r="Z150" s="6">
        <f t="shared" si="93"/>
        <v>-1</v>
      </c>
    </row>
    <row r="151" spans="1:26" s="24" customFormat="1" hidden="1" outlineLevel="2" x14ac:dyDescent="0.25">
      <c r="A151" s="26"/>
      <c r="B151" s="11" t="str">
        <f>CONCATENATE("          ", "6245", " - ", "PRINTING")</f>
        <v xml:space="preserve">          6245 - PRINTING</v>
      </c>
      <c r="C151" s="11"/>
      <c r="D151" s="7"/>
      <c r="E151" s="2"/>
      <c r="F151" s="6">
        <f t="shared" si="86"/>
        <v>0</v>
      </c>
      <c r="G151" s="2"/>
      <c r="H151" s="7">
        <v>50</v>
      </c>
      <c r="I151" s="2"/>
      <c r="J151" s="6">
        <f t="shared" si="87"/>
        <v>1.4715620631300125E-4</v>
      </c>
      <c r="K151" s="2"/>
      <c r="L151" s="7">
        <f t="shared" si="88"/>
        <v>-50</v>
      </c>
      <c r="M151" s="2"/>
      <c r="N151" s="6">
        <f t="shared" si="89"/>
        <v>-1</v>
      </c>
      <c r="O151" s="11"/>
      <c r="P151" s="7"/>
      <c r="Q151" s="2"/>
      <c r="R151" s="6">
        <f t="shared" si="90"/>
        <v>0</v>
      </c>
      <c r="S151" s="2"/>
      <c r="T151" s="7">
        <v>450</v>
      </c>
      <c r="U151" s="2"/>
      <c r="V151" s="6">
        <f t="shared" si="91"/>
        <v>1.5455860295509179E-4</v>
      </c>
      <c r="W151" s="2"/>
      <c r="X151" s="7">
        <f t="shared" si="92"/>
        <v>-450</v>
      </c>
      <c r="Y151" s="2"/>
      <c r="Z151" s="6">
        <f t="shared" si="93"/>
        <v>-1</v>
      </c>
    </row>
    <row r="152" spans="1:26" s="24" customFormat="1" hidden="1" outlineLevel="2" x14ac:dyDescent="0.25">
      <c r="A152" s="26"/>
      <c r="B152" s="11" t="str">
        <f>CONCATENATE("          ", "6247", " - ", "STORE SUPPLIES")</f>
        <v xml:space="preserve">          6247 - STORE SUPPLIES</v>
      </c>
      <c r="C152" s="11"/>
      <c r="D152" s="7"/>
      <c r="E152" s="2"/>
      <c r="F152" s="6">
        <f t="shared" si="86"/>
        <v>0</v>
      </c>
      <c r="G152" s="2"/>
      <c r="H152" s="7">
        <v>75</v>
      </c>
      <c r="I152" s="2"/>
      <c r="J152" s="6">
        <f t="shared" si="87"/>
        <v>2.2073430946950188E-4</v>
      </c>
      <c r="K152" s="2"/>
      <c r="L152" s="7">
        <f t="shared" si="88"/>
        <v>-75</v>
      </c>
      <c r="M152" s="2"/>
      <c r="N152" s="6">
        <f t="shared" si="89"/>
        <v>-1</v>
      </c>
      <c r="O152" s="11"/>
      <c r="P152" s="7">
        <v>1110.23</v>
      </c>
      <c r="Q152" s="2"/>
      <c r="R152" s="6">
        <f t="shared" si="90"/>
        <v>7.5123105152582407E-4</v>
      </c>
      <c r="S152" s="2"/>
      <c r="T152" s="7">
        <v>675</v>
      </c>
      <c r="U152" s="2"/>
      <c r="V152" s="6">
        <f t="shared" si="91"/>
        <v>2.3183790443263771E-4</v>
      </c>
      <c r="W152" s="2"/>
      <c r="X152" s="7">
        <f t="shared" si="92"/>
        <v>435.23</v>
      </c>
      <c r="Y152" s="2"/>
      <c r="Z152" s="6">
        <f t="shared" si="93"/>
        <v>0.64478518518518524</v>
      </c>
    </row>
    <row r="153" spans="1:26" s="25" customFormat="1" outlineLevel="1" collapsed="1" x14ac:dyDescent="0.25">
      <c r="A153" s="27"/>
      <c r="B153" s="13" t="str">
        <f>CONCATENATE("     ","Telephone/Data Lines                              ")</f>
        <v xml:space="preserve">     Telephone/Data Lines                              </v>
      </c>
      <c r="C153" s="13"/>
      <c r="D153" s="1">
        <f>SUM(OSRRefD22_19x_0)</f>
        <v>326.89999999999998</v>
      </c>
      <c r="E153" s="1"/>
      <c r="F153" s="5">
        <f t="shared" ref="F153:F155" si="94">IF(D$12=0,0,D153/D$12)</f>
        <v>1.9603876950020547E-3</v>
      </c>
      <c r="G153" s="1"/>
      <c r="H153" s="1">
        <f>SUM(OSRRefH22_19x_0)</f>
        <v>830</v>
      </c>
      <c r="I153" s="1"/>
      <c r="J153" s="5">
        <f t="shared" ref="J153:J155" si="95">IF(H$12=0,0,H153/H$12)</f>
        <v>2.4427930247958207E-3</v>
      </c>
      <c r="K153" s="1"/>
      <c r="L153" s="1">
        <f t="shared" ref="L153:L155" si="96">+D153-H153</f>
        <v>-503.1</v>
      </c>
      <c r="M153" s="1"/>
      <c r="N153" s="5">
        <f t="shared" ref="N153:N155" si="97">IF(H153=0,0,L153/H153)</f>
        <v>-0.60614457831325308</v>
      </c>
      <c r="O153" s="13"/>
      <c r="P153" s="1">
        <f>SUM(OSRRefP22_19x_0)</f>
        <v>5428.73</v>
      </c>
      <c r="Q153" s="1"/>
      <c r="R153" s="5">
        <f t="shared" ref="R153:R155" si="98">IF(P$12=0,0,P153/P$12)</f>
        <v>3.6733204348196199E-3</v>
      </c>
      <c r="S153" s="1"/>
      <c r="T153" s="1">
        <f>SUM(OSRRefT22_19x_0)</f>
        <v>7470</v>
      </c>
      <c r="U153" s="1"/>
      <c r="V153" s="5">
        <f t="shared" ref="V153:V155" si="99">IF(T$12=0,0,T153/T$12)</f>
        <v>2.5656728090545236E-3</v>
      </c>
      <c r="W153" s="1"/>
      <c r="X153" s="1">
        <f t="shared" ref="X153:X155" si="100">+P153-T153</f>
        <v>-2041.2700000000004</v>
      </c>
      <c r="Y153" s="1"/>
      <c r="Z153" s="5">
        <f t="shared" ref="Z153:Z155" si="101">IF(T153=0,0,X153/T153)</f>
        <v>-0.27326238286479254</v>
      </c>
    </row>
    <row r="154" spans="1:26" s="24" customFormat="1" hidden="1" outlineLevel="2" x14ac:dyDescent="0.25">
      <c r="A154" s="26"/>
      <c r="B154" s="11" t="str">
        <f>CONCATENATE("          ", "6303", " - ", "DATA PHONE LINES")</f>
        <v xml:space="preserve">          6303 - DATA PHONE LINES</v>
      </c>
      <c r="C154" s="11"/>
      <c r="D154" s="7"/>
      <c r="E154" s="2"/>
      <c r="F154" s="6">
        <f t="shared" si="94"/>
        <v>0</v>
      </c>
      <c r="G154" s="2"/>
      <c r="H154" s="7">
        <v>230</v>
      </c>
      <c r="I154" s="2"/>
      <c r="J154" s="6">
        <f t="shared" si="95"/>
        <v>6.7691854903980579E-4</v>
      </c>
      <c r="K154" s="2"/>
      <c r="L154" s="7">
        <f t="shared" si="96"/>
        <v>-230</v>
      </c>
      <c r="M154" s="2"/>
      <c r="N154" s="6">
        <f t="shared" si="97"/>
        <v>-1</v>
      </c>
      <c r="O154" s="11"/>
      <c r="P154" s="7"/>
      <c r="Q154" s="2"/>
      <c r="R154" s="6">
        <f t="shared" si="98"/>
        <v>0</v>
      </c>
      <c r="S154" s="2"/>
      <c r="T154" s="7">
        <v>2070</v>
      </c>
      <c r="U154" s="2"/>
      <c r="V154" s="6">
        <f t="shared" si="99"/>
        <v>7.1096957359342231E-4</v>
      </c>
      <c r="W154" s="2"/>
      <c r="X154" s="7">
        <f t="shared" si="100"/>
        <v>-2070</v>
      </c>
      <c r="Y154" s="2"/>
      <c r="Z154" s="6">
        <f t="shared" si="101"/>
        <v>-1</v>
      </c>
    </row>
    <row r="155" spans="1:26" s="24" customFormat="1" hidden="1" outlineLevel="2" x14ac:dyDescent="0.25">
      <c r="A155" s="26"/>
      <c r="B155" s="11" t="str">
        <f>CONCATENATE("          ", "6309", " - ", "TELEPHONE")</f>
        <v xml:space="preserve">          6309 - TELEPHONE</v>
      </c>
      <c r="C155" s="11"/>
      <c r="D155" s="7">
        <v>326.89999999999998</v>
      </c>
      <c r="E155" s="2"/>
      <c r="F155" s="6">
        <f t="shared" si="94"/>
        <v>1.9603876950020547E-3</v>
      </c>
      <c r="G155" s="2"/>
      <c r="H155" s="7">
        <v>600</v>
      </c>
      <c r="I155" s="2"/>
      <c r="J155" s="6">
        <f t="shared" si="95"/>
        <v>1.7658744757560151E-3</v>
      </c>
      <c r="K155" s="2"/>
      <c r="L155" s="7">
        <f t="shared" si="96"/>
        <v>-273.10000000000002</v>
      </c>
      <c r="M155" s="2"/>
      <c r="N155" s="6">
        <f t="shared" si="97"/>
        <v>-0.45516666666666672</v>
      </c>
      <c r="O155" s="11"/>
      <c r="P155" s="7">
        <v>5428.73</v>
      </c>
      <c r="Q155" s="2"/>
      <c r="R155" s="6">
        <f t="shared" si="98"/>
        <v>3.6733204348196199E-3</v>
      </c>
      <c r="S155" s="2"/>
      <c r="T155" s="7">
        <v>5400</v>
      </c>
      <c r="U155" s="2"/>
      <c r="V155" s="6">
        <f t="shared" si="99"/>
        <v>1.8547032354611017E-3</v>
      </c>
      <c r="W155" s="2"/>
      <c r="X155" s="7">
        <f t="shared" si="100"/>
        <v>28.729999999999563</v>
      </c>
      <c r="Y155" s="2"/>
      <c r="Z155" s="6">
        <f t="shared" si="101"/>
        <v>5.3203703703702896E-3</v>
      </c>
    </row>
    <row r="156" spans="1:26" s="25" customFormat="1" outlineLevel="1" collapsed="1" x14ac:dyDescent="0.25">
      <c r="A156" s="27"/>
      <c r="B156" s="13" t="str">
        <f>CONCATENATE("     ","Training                                          ")</f>
        <v xml:space="preserve">     Training                                          </v>
      </c>
      <c r="C156" s="13"/>
      <c r="D156" s="1">
        <f>SUM(OSRRefD22_20x_0)</f>
        <v>0</v>
      </c>
      <c r="E156" s="1"/>
      <c r="F156" s="5">
        <f t="shared" ref="F156:F160" si="102">IF(D$12=0,0,D156/D$12)</f>
        <v>0</v>
      </c>
      <c r="G156" s="1"/>
      <c r="H156" s="1">
        <f>SUM(OSRRefH22_20x_0)</f>
        <v>0</v>
      </c>
      <c r="I156" s="1"/>
      <c r="J156" s="5">
        <f t="shared" ref="J156:J160" si="103">IF(H$12=0,0,H156/H$12)</f>
        <v>0</v>
      </c>
      <c r="K156" s="1"/>
      <c r="L156" s="1">
        <f t="shared" ref="L156:L160" si="104">+D156-H156</f>
        <v>0</v>
      </c>
      <c r="M156" s="1"/>
      <c r="N156" s="5">
        <f t="shared" ref="N156:N160" si="105">IF(H156=0,0,L156/H156)</f>
        <v>0</v>
      </c>
      <c r="O156" s="13"/>
      <c r="P156" s="1">
        <f>SUM(OSRRefP22_20x_0)</f>
        <v>0</v>
      </c>
      <c r="Q156" s="1"/>
      <c r="R156" s="5">
        <f t="shared" ref="R156:R160" si="106">IF(P$12=0,0,P156/P$12)</f>
        <v>0</v>
      </c>
      <c r="S156" s="1"/>
      <c r="T156" s="1">
        <f>SUM(OSRRefT22_20x_0)</f>
        <v>3600</v>
      </c>
      <c r="U156" s="1"/>
      <c r="V156" s="5">
        <f t="shared" ref="V156:V160" si="107">IF(T$12=0,0,T156/T$12)</f>
        <v>1.2364688236407343E-3</v>
      </c>
      <c r="W156" s="1"/>
      <c r="X156" s="1">
        <f t="shared" ref="X156:X160" si="108">+P156-T156</f>
        <v>-3600</v>
      </c>
      <c r="Y156" s="1"/>
      <c r="Z156" s="5">
        <f t="shared" ref="Z156:Z160" si="109">IF(T156=0,0,X156/T156)</f>
        <v>-1</v>
      </c>
    </row>
    <row r="157" spans="1:26" s="24" customFormat="1" hidden="1" outlineLevel="2" x14ac:dyDescent="0.25">
      <c r="A157" s="26"/>
      <c r="B157" s="11" t="str">
        <f>CONCATENATE("          ", "6376", " - ", "TRAINING")</f>
        <v xml:space="preserve">          6376 - TRAINING</v>
      </c>
      <c r="C157" s="11"/>
      <c r="D157" s="7"/>
      <c r="E157" s="2"/>
      <c r="F157" s="6">
        <f t="shared" si="102"/>
        <v>0</v>
      </c>
      <c r="G157" s="2"/>
      <c r="H157" s="7">
        <v>0</v>
      </c>
      <c r="I157" s="2"/>
      <c r="J157" s="6">
        <f t="shared" si="103"/>
        <v>0</v>
      </c>
      <c r="K157" s="2"/>
      <c r="L157" s="7">
        <f t="shared" si="104"/>
        <v>0</v>
      </c>
      <c r="M157" s="2"/>
      <c r="N157" s="6">
        <f t="shared" si="105"/>
        <v>0</v>
      </c>
      <c r="O157" s="11"/>
      <c r="P157" s="7"/>
      <c r="Q157" s="2"/>
      <c r="R157" s="6">
        <f t="shared" si="106"/>
        <v>0</v>
      </c>
      <c r="S157" s="2"/>
      <c r="T157" s="7">
        <v>3600</v>
      </c>
      <c r="U157" s="2"/>
      <c r="V157" s="6">
        <f t="shared" si="107"/>
        <v>1.2364688236407343E-3</v>
      </c>
      <c r="W157" s="2"/>
      <c r="X157" s="7">
        <f t="shared" si="108"/>
        <v>-3600</v>
      </c>
      <c r="Y157" s="2"/>
      <c r="Z157" s="6">
        <f t="shared" si="109"/>
        <v>-1</v>
      </c>
    </row>
    <row r="158" spans="1:26" s="25" customFormat="1" outlineLevel="1" collapsed="1" x14ac:dyDescent="0.25">
      <c r="A158" s="27"/>
      <c r="B158" s="13" t="str">
        <f>CONCATENATE("     ","Travel                                            ")</f>
        <v xml:space="preserve">     Travel                                            </v>
      </c>
      <c r="C158" s="13"/>
      <c r="D158" s="1">
        <f>SUM(OSRRefD22_21x_0)</f>
        <v>93.02</v>
      </c>
      <c r="E158" s="1"/>
      <c r="F158" s="5">
        <f t="shared" si="102"/>
        <v>5.5783194673934269E-4</v>
      </c>
      <c r="G158" s="1"/>
      <c r="H158" s="1">
        <f>SUM(OSRRefH22_21x_0)</f>
        <v>50</v>
      </c>
      <c r="I158" s="1"/>
      <c r="J158" s="5">
        <f t="shared" si="103"/>
        <v>1.4715620631300125E-4</v>
      </c>
      <c r="K158" s="1"/>
      <c r="L158" s="1">
        <f t="shared" si="104"/>
        <v>43.019999999999996</v>
      </c>
      <c r="M158" s="1"/>
      <c r="N158" s="5">
        <f t="shared" si="105"/>
        <v>0.86039999999999994</v>
      </c>
      <c r="O158" s="13"/>
      <c r="P158" s="1">
        <f>SUM(OSRRefP22_21x_0)</f>
        <v>544.28</v>
      </c>
      <c r="Q158" s="1"/>
      <c r="R158" s="5">
        <f t="shared" si="106"/>
        <v>3.682840823293151E-4</v>
      </c>
      <c r="S158" s="1"/>
      <c r="T158" s="1">
        <f>SUM(OSRRefT22_21x_0)</f>
        <v>650</v>
      </c>
      <c r="U158" s="1"/>
      <c r="V158" s="5">
        <f t="shared" si="107"/>
        <v>2.2325131537957705E-4</v>
      </c>
      <c r="W158" s="1"/>
      <c r="X158" s="1">
        <f t="shared" si="108"/>
        <v>-105.72000000000003</v>
      </c>
      <c r="Y158" s="1"/>
      <c r="Z158" s="5">
        <f t="shared" si="109"/>
        <v>-0.16264615384615388</v>
      </c>
    </row>
    <row r="159" spans="1:26" s="24" customFormat="1" hidden="1" outlineLevel="2" x14ac:dyDescent="0.25">
      <c r="A159" s="26"/>
      <c r="B159" s="11" t="str">
        <f>CONCATENATE("          ", "6294", " - ", "TRAVEL OPERATIONAL")</f>
        <v xml:space="preserve">          6294 - TRAVEL OPERATIONAL</v>
      </c>
      <c r="C159" s="11"/>
      <c r="D159" s="7">
        <v>93.02</v>
      </c>
      <c r="E159" s="2"/>
      <c r="F159" s="6">
        <f t="shared" si="102"/>
        <v>5.5783194673934269E-4</v>
      </c>
      <c r="G159" s="2"/>
      <c r="H159" s="7">
        <v>25</v>
      </c>
      <c r="I159" s="2"/>
      <c r="J159" s="6">
        <f t="shared" si="103"/>
        <v>7.3578103156500627E-5</v>
      </c>
      <c r="K159" s="2"/>
      <c r="L159" s="7">
        <f t="shared" si="104"/>
        <v>68.02</v>
      </c>
      <c r="M159" s="2"/>
      <c r="N159" s="6">
        <f t="shared" si="105"/>
        <v>2.7207999999999997</v>
      </c>
      <c r="O159" s="11"/>
      <c r="P159" s="7">
        <v>544.28</v>
      </c>
      <c r="Q159" s="2"/>
      <c r="R159" s="6">
        <f t="shared" si="106"/>
        <v>3.682840823293151E-4</v>
      </c>
      <c r="S159" s="2"/>
      <c r="T159" s="7">
        <v>225</v>
      </c>
      <c r="U159" s="2"/>
      <c r="V159" s="6">
        <f t="shared" si="107"/>
        <v>7.7279301477545893E-5</v>
      </c>
      <c r="W159" s="2"/>
      <c r="X159" s="7">
        <f t="shared" si="108"/>
        <v>319.27999999999997</v>
      </c>
      <c r="Y159" s="2"/>
      <c r="Z159" s="6">
        <f t="shared" si="109"/>
        <v>1.4190222222222222</v>
      </c>
    </row>
    <row r="160" spans="1:26" s="24" customFormat="1" hidden="1" outlineLevel="2" x14ac:dyDescent="0.25">
      <c r="A160" s="26"/>
      <c r="B160" s="11" t="str">
        <f>CONCATENATE("          ", "6298", " - ", "VEHICLE MILEAGE")</f>
        <v xml:space="preserve">          6298 - VEHICLE MILEAGE</v>
      </c>
      <c r="C160" s="11"/>
      <c r="D160" s="7"/>
      <c r="E160" s="2"/>
      <c r="F160" s="6">
        <f t="shared" si="102"/>
        <v>0</v>
      </c>
      <c r="G160" s="2"/>
      <c r="H160" s="7">
        <v>25</v>
      </c>
      <c r="I160" s="2"/>
      <c r="J160" s="6">
        <f t="shared" si="103"/>
        <v>7.3578103156500627E-5</v>
      </c>
      <c r="K160" s="2"/>
      <c r="L160" s="7">
        <f t="shared" si="104"/>
        <v>-25</v>
      </c>
      <c r="M160" s="2"/>
      <c r="N160" s="6">
        <f t="shared" si="105"/>
        <v>-1</v>
      </c>
      <c r="O160" s="11"/>
      <c r="P160" s="7"/>
      <c r="Q160" s="2"/>
      <c r="R160" s="6">
        <f t="shared" si="106"/>
        <v>0</v>
      </c>
      <c r="S160" s="2"/>
      <c r="T160" s="7">
        <v>425</v>
      </c>
      <c r="U160" s="2"/>
      <c r="V160" s="6">
        <f t="shared" si="107"/>
        <v>1.4597201390203113E-4</v>
      </c>
      <c r="W160" s="2"/>
      <c r="X160" s="7">
        <f t="shared" si="108"/>
        <v>-425</v>
      </c>
      <c r="Y160" s="2"/>
      <c r="Z160" s="6">
        <f t="shared" si="109"/>
        <v>-1</v>
      </c>
    </row>
    <row r="161" spans="1:26" s="25" customFormat="1" outlineLevel="1" collapsed="1" x14ac:dyDescent="0.25">
      <c r="A161" s="27"/>
      <c r="B161" s="13" t="str">
        <f>CONCATENATE("     ","Utilities                                         ")</f>
        <v xml:space="preserve">     Utilities                                         </v>
      </c>
      <c r="C161" s="13"/>
      <c r="D161" s="1">
        <f>SUM(OSRRefD22_22x_0)</f>
        <v>30.45</v>
      </c>
      <c r="E161" s="1"/>
      <c r="F161" s="5">
        <f t="shared" ref="F161:F162" si="110">IF(D$12=0,0,D161/D$12)</f>
        <v>1.8260570606550187E-4</v>
      </c>
      <c r="G161" s="1"/>
      <c r="H161" s="1">
        <f>SUM(OSRRefH22_22x_0)</f>
        <v>150</v>
      </c>
      <c r="I161" s="1"/>
      <c r="J161" s="5">
        <f t="shared" ref="J161:J162" si="111">IF(H$12=0,0,H161/H$12)</f>
        <v>4.4146861893900376E-4</v>
      </c>
      <c r="K161" s="1"/>
      <c r="L161" s="1">
        <f t="shared" ref="L161:L162" si="112">+D161-H161</f>
        <v>-119.55</v>
      </c>
      <c r="M161" s="1"/>
      <c r="N161" s="5">
        <f t="shared" ref="N161:N162" si="113">IF(H161=0,0,L161/H161)</f>
        <v>-0.79699999999999993</v>
      </c>
      <c r="O161" s="13"/>
      <c r="P161" s="1">
        <f>SUM(OSRRefP22_22x_0)</f>
        <v>235.6</v>
      </c>
      <c r="Q161" s="1"/>
      <c r="R161" s="5">
        <f t="shared" ref="R161:R162" si="114">IF(P$12=0,0,P161/P$12)</f>
        <v>1.5941745020354715E-4</v>
      </c>
      <c r="S161" s="1"/>
      <c r="T161" s="1">
        <f>SUM(OSRRefT22_22x_0)</f>
        <v>3925</v>
      </c>
      <c r="U161" s="1"/>
      <c r="V161" s="5">
        <f t="shared" ref="V161:V162" si="115">IF(T$12=0,0,T161/T$12)</f>
        <v>1.348094481330523E-3</v>
      </c>
      <c r="W161" s="1"/>
      <c r="X161" s="1">
        <f t="shared" ref="X161:X162" si="116">+P161-T161</f>
        <v>-3689.4</v>
      </c>
      <c r="Y161" s="1"/>
      <c r="Z161" s="5">
        <f t="shared" ref="Z161:Z162" si="117">IF(T161=0,0,X161/T161)</f>
        <v>-0.93997452229299361</v>
      </c>
    </row>
    <row r="162" spans="1:26" s="24" customFormat="1" hidden="1" outlineLevel="2" x14ac:dyDescent="0.25">
      <c r="A162" s="26"/>
      <c r="B162" s="11" t="str">
        <f>CONCATENATE("          ", "6274", " - ", "UTILITIES")</f>
        <v xml:space="preserve">          6274 - UTILITIES</v>
      </c>
      <c r="C162" s="11"/>
      <c r="D162" s="7">
        <v>30.45</v>
      </c>
      <c r="E162" s="2"/>
      <c r="F162" s="6">
        <f t="shared" si="110"/>
        <v>1.8260570606550187E-4</v>
      </c>
      <c r="G162" s="2"/>
      <c r="H162" s="7">
        <v>150</v>
      </c>
      <c r="I162" s="2"/>
      <c r="J162" s="6">
        <f t="shared" si="111"/>
        <v>4.4146861893900376E-4</v>
      </c>
      <c r="K162" s="2"/>
      <c r="L162" s="7">
        <f t="shared" si="112"/>
        <v>-119.55</v>
      </c>
      <c r="M162" s="2"/>
      <c r="N162" s="6">
        <f t="shared" si="113"/>
        <v>-0.79699999999999993</v>
      </c>
      <c r="O162" s="11"/>
      <c r="P162" s="7">
        <v>235.6</v>
      </c>
      <c r="Q162" s="2"/>
      <c r="R162" s="6">
        <f t="shared" si="114"/>
        <v>1.5941745020354715E-4</v>
      </c>
      <c r="S162" s="2"/>
      <c r="T162" s="7">
        <v>3925</v>
      </c>
      <c r="U162" s="2"/>
      <c r="V162" s="6">
        <f t="shared" si="115"/>
        <v>1.348094481330523E-3</v>
      </c>
      <c r="W162" s="2"/>
      <c r="X162" s="7">
        <f t="shared" si="116"/>
        <v>-3689.4</v>
      </c>
      <c r="Y162" s="2"/>
      <c r="Z162" s="6">
        <f t="shared" si="117"/>
        <v>-0.93997452229299361</v>
      </c>
    </row>
    <row r="163" spans="1:26" s="59" customFormat="1" x14ac:dyDescent="0.25">
      <c r="A163" s="36"/>
      <c r="B163" s="36"/>
      <c r="C163" s="36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collapsed="1" x14ac:dyDescent="0.25">
      <c r="A164" s="10"/>
      <c r="B164" s="28" t="s">
        <v>293</v>
      </c>
      <c r="C164" s="10"/>
      <c r="D164" s="4">
        <f>SUM(OSRRefD25x_0)</f>
        <v>175014.7</v>
      </c>
      <c r="E164" s="4"/>
      <c r="F164" s="12">
        <f t="shared" ref="F164:F167" si="118">IF(D$12=0,0,D164/D$12)</f>
        <v>1.049546235315008</v>
      </c>
      <c r="G164" s="4"/>
      <c r="H164" s="4">
        <f>SUM(OSRRefH25x_0)</f>
        <v>181695</v>
      </c>
      <c r="I164" s="4"/>
      <c r="J164" s="12">
        <f t="shared" ref="J164:J167" si="119">IF(H$12=0,0,H164/H$12)</f>
        <v>0.5347509381208152</v>
      </c>
      <c r="K164" s="4"/>
      <c r="L164" s="4">
        <f t="shared" ref="L164:L167" si="120">+D164-H164</f>
        <v>-6680.2999999999884</v>
      </c>
      <c r="M164" s="4"/>
      <c r="N164" s="12">
        <f t="shared" ref="N164:N167" si="121">IF(H164=0,0,L164/H164)</f>
        <v>-3.6766559343955466E-2</v>
      </c>
      <c r="O164" s="10"/>
      <c r="P164" s="4">
        <f>SUM(OSRRefP25x_0)</f>
        <v>392807.77</v>
      </c>
      <c r="Q164" s="4"/>
      <c r="R164" s="12">
        <f t="shared" ref="R164:R167" si="122">IF(P$12=0,0,P164/P$12)</f>
        <v>0.26579122713727255</v>
      </c>
      <c r="S164" s="4"/>
      <c r="T164" s="4">
        <f>SUM(OSRRefT25x_0)</f>
        <v>419915</v>
      </c>
      <c r="U164" s="4"/>
      <c r="V164" s="12">
        <f t="shared" ref="V164:V167" si="123">IF(T$12=0,0,T164/T$12)</f>
        <v>0.1442255016886386</v>
      </c>
      <c r="W164" s="4"/>
      <c r="X164" s="4">
        <f t="shared" ref="X164:X167" si="124">+P164-T164</f>
        <v>-27107.229999999981</v>
      </c>
      <c r="Y164" s="4"/>
      <c r="Z164" s="12">
        <f t="shared" ref="Z164:Z167" si="125">IF(T164=0,0,X164/T164)</f>
        <v>-6.4554088327399547E-2</v>
      </c>
    </row>
    <row r="165" spans="1:26" s="24" customFormat="1" hidden="1" outlineLevel="1" x14ac:dyDescent="0.25">
      <c r="A165" s="44"/>
      <c r="B165" s="11" t="str">
        <f>CONCATENATE("          ", "9150", " - ", "MISC. INCOME")</f>
        <v xml:space="preserve">          9150 - MISC. INCOME</v>
      </c>
      <c r="C165" s="11"/>
      <c r="D165" s="2">
        <f t="shared" ref="D165:D166" si="126">0</f>
        <v>0</v>
      </c>
      <c r="E165" s="2"/>
      <c r="F165" s="19">
        <f t="shared" si="118"/>
        <v>0</v>
      </c>
      <c r="G165" s="2"/>
      <c r="H165" s="2">
        <v>8075</v>
      </c>
      <c r="I165" s="2"/>
      <c r="J165" s="19">
        <f t="shared" si="119"/>
        <v>2.3765727319549703E-2</v>
      </c>
      <c r="K165" s="2"/>
      <c r="L165" s="2">
        <f t="shared" si="120"/>
        <v>-8075</v>
      </c>
      <c r="M165" s="2"/>
      <c r="N165" s="19">
        <f t="shared" si="121"/>
        <v>-1</v>
      </c>
      <c r="O165" s="11"/>
      <c r="P165" s="2">
        <f>--46373.31</f>
        <v>46373.31</v>
      </c>
      <c r="Q165" s="2"/>
      <c r="R165" s="19">
        <f t="shared" si="122"/>
        <v>3.1378246339977316E-2</v>
      </c>
      <c r="S165" s="2"/>
      <c r="T165" s="2">
        <v>72675</v>
      </c>
      <c r="U165" s="2"/>
      <c r="V165" s="19">
        <f t="shared" si="123"/>
        <v>2.4961214377247326E-2</v>
      </c>
      <c r="W165" s="2"/>
      <c r="X165" s="2">
        <f t="shared" si="124"/>
        <v>-26301.690000000002</v>
      </c>
      <c r="Y165" s="2"/>
      <c r="Z165" s="19">
        <f t="shared" si="125"/>
        <v>-0.36190835913312697</v>
      </c>
    </row>
    <row r="166" spans="1:26" s="24" customFormat="1" hidden="1" outlineLevel="1" x14ac:dyDescent="0.25">
      <c r="A166" s="44"/>
      <c r="B166" s="11" t="str">
        <f>CONCATENATE("          ", "9151", " - ", "MISC. INCOME")</f>
        <v xml:space="preserve">          9151 - MISC. INCOME</v>
      </c>
      <c r="C166" s="11"/>
      <c r="D166" s="2">
        <f t="shared" si="126"/>
        <v>0</v>
      </c>
      <c r="E166" s="2"/>
      <c r="F166" s="19">
        <f t="shared" si="118"/>
        <v>0</v>
      </c>
      <c r="G166" s="2"/>
      <c r="H166" s="2">
        <v>173620</v>
      </c>
      <c r="I166" s="2"/>
      <c r="J166" s="19">
        <f t="shared" si="119"/>
        <v>0.51098521080126558</v>
      </c>
      <c r="K166" s="2"/>
      <c r="L166" s="2">
        <f t="shared" si="120"/>
        <v>-173620</v>
      </c>
      <c r="M166" s="2"/>
      <c r="N166" s="19">
        <f t="shared" si="121"/>
        <v>-1</v>
      </c>
      <c r="O166" s="11"/>
      <c r="P166" s="2">
        <f>0</f>
        <v>0</v>
      </c>
      <c r="Q166" s="2"/>
      <c r="R166" s="19">
        <f t="shared" si="122"/>
        <v>0</v>
      </c>
      <c r="S166" s="2"/>
      <c r="T166" s="2">
        <v>347240</v>
      </c>
      <c r="U166" s="2"/>
      <c r="V166" s="19">
        <f t="shared" si="123"/>
        <v>0.11926428731139128</v>
      </c>
      <c r="W166" s="2"/>
      <c r="X166" s="2">
        <f t="shared" si="124"/>
        <v>-347240</v>
      </c>
      <c r="Y166" s="2"/>
      <c r="Z166" s="19">
        <f t="shared" si="125"/>
        <v>-1</v>
      </c>
    </row>
    <row r="167" spans="1:26" s="24" customFormat="1" hidden="1" outlineLevel="1" x14ac:dyDescent="0.25">
      <c r="A167" s="44"/>
      <c r="B167" s="11" t="str">
        <f>CONCATENATE("          ", "9163", " - ", "MISC. INCOME")</f>
        <v xml:space="preserve">          9163 - MISC. INCOME</v>
      </c>
      <c r="C167" s="11"/>
      <c r="D167" s="2">
        <f>--175014.7</f>
        <v>175014.7</v>
      </c>
      <c r="E167" s="2"/>
      <c r="F167" s="19">
        <f t="shared" si="118"/>
        <v>1.049546235315008</v>
      </c>
      <c r="G167" s="2"/>
      <c r="H167" s="2"/>
      <c r="I167" s="2"/>
      <c r="J167" s="19">
        <f t="shared" si="119"/>
        <v>0</v>
      </c>
      <c r="K167" s="2"/>
      <c r="L167" s="2">
        <f t="shared" si="120"/>
        <v>175014.7</v>
      </c>
      <c r="M167" s="2"/>
      <c r="N167" s="19">
        <f t="shared" si="121"/>
        <v>0</v>
      </c>
      <c r="O167" s="11"/>
      <c r="P167" s="2">
        <f>--346434.46</f>
        <v>346434.46</v>
      </c>
      <c r="Q167" s="2"/>
      <c r="R167" s="19">
        <f t="shared" si="122"/>
        <v>0.23441298079729522</v>
      </c>
      <c r="S167" s="2"/>
      <c r="T167" s="2"/>
      <c r="U167" s="2"/>
      <c r="V167" s="19">
        <f t="shared" si="123"/>
        <v>0</v>
      </c>
      <c r="W167" s="2"/>
      <c r="X167" s="2">
        <f t="shared" si="124"/>
        <v>346434.46</v>
      </c>
      <c r="Y167" s="2"/>
      <c r="Z167" s="19">
        <f t="shared" si="125"/>
        <v>0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x14ac:dyDescent="0.25">
      <c r="A169" s="10"/>
      <c r="B169" s="29" t="s">
        <v>277</v>
      </c>
      <c r="C169" s="29"/>
      <c r="D169" s="20">
        <f>+D78-D80+D164</f>
        <v>188846.75000000003</v>
      </c>
      <c r="E169" s="14"/>
      <c r="F169" s="21">
        <f>IF(D$12=0,0,D169/D$12)</f>
        <v>1.1324957018694688</v>
      </c>
      <c r="G169" s="14"/>
      <c r="H169" s="20">
        <f>+H78-H80+H164</f>
        <v>239061.33546007698</v>
      </c>
      <c r="I169" s="14"/>
      <c r="J169" s="21">
        <f>IF(H$12=0,0,H169/H$12)</f>
        <v>0.70358718404849385</v>
      </c>
      <c r="K169" s="16"/>
      <c r="L169" s="20">
        <f>+D169-H169</f>
        <v>-50214.585460076953</v>
      </c>
      <c r="M169" s="16"/>
      <c r="N169" s="21">
        <f>IF(H169=0,0,L169/H169)</f>
        <v>-0.21004896238631923</v>
      </c>
      <c r="O169" s="28"/>
      <c r="P169" s="20">
        <f>+P78-P80+P164</f>
        <v>428581.31000000017</v>
      </c>
      <c r="Q169" s="14"/>
      <c r="R169" s="21">
        <f>IF(P$12=0,0,P169/P$12)</f>
        <v>0.28999719713538213</v>
      </c>
      <c r="S169" s="14"/>
      <c r="T169" s="20">
        <f>+T78-T80+T164</f>
        <v>855285.95282649994</v>
      </c>
      <c r="U169" s="14"/>
      <c r="V169" s="21">
        <f>IF(T$12=0,0,T169/T$12)</f>
        <v>0.29375955999106307</v>
      </c>
      <c r="W169" s="16"/>
      <c r="X169" s="20">
        <f>+P169-T169</f>
        <v>-426704.64282649977</v>
      </c>
      <c r="Y169" s="16"/>
      <c r="Z169" s="21">
        <f>IF(T169=0,0,X169/T169)</f>
        <v>-0.49890290073904608</v>
      </c>
    </row>
    <row r="170" spans="1:26" x14ac:dyDescent="0.25">
      <c r="A170" s="9"/>
      <c r="B170" s="10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x14ac:dyDescent="0.25">
      <c r="A171" s="52"/>
      <c r="B171" s="10" t="s">
        <v>128</v>
      </c>
      <c r="C171" s="10"/>
      <c r="D171" s="4">
        <v>44928.43</v>
      </c>
      <c r="E171" s="4"/>
      <c r="F171" s="12">
        <f>IF(D$12=0,0,D171/D$12)</f>
        <v>0.26943145098733912</v>
      </c>
      <c r="G171" s="4"/>
      <c r="H171" s="4">
        <v>72586</v>
      </c>
      <c r="I171" s="4"/>
      <c r="J171" s="12">
        <f>IF(H$12=0,0,H171/H$12)</f>
        <v>0.21362960782871018</v>
      </c>
      <c r="K171" s="4"/>
      <c r="L171" s="4">
        <f>+D171-H171</f>
        <v>-27657.57</v>
      </c>
      <c r="M171" s="4"/>
      <c r="N171" s="12">
        <f>IF(H171=0,0,L171/H171)</f>
        <v>-0.381031741658171</v>
      </c>
      <c r="O171" s="10"/>
      <c r="P171" s="4">
        <v>304578.7</v>
      </c>
      <c r="Q171" s="4"/>
      <c r="R171" s="12">
        <f>IF(P$12=0,0,P171/P$12)</f>
        <v>0.20609150993340886</v>
      </c>
      <c r="S171" s="4"/>
      <c r="T171" s="4">
        <v>514873</v>
      </c>
      <c r="U171" s="4"/>
      <c r="V171" s="12">
        <f>IF(T$12=0,0,T171/T$12)</f>
        <v>0.17684011462065996</v>
      </c>
      <c r="W171" s="4"/>
      <c r="X171" s="4">
        <f>+P171-T171</f>
        <v>-210294.3</v>
      </c>
      <c r="Y171" s="4"/>
      <c r="Z171" s="12">
        <f>IF(T171=0,0,X171/T171)</f>
        <v>-0.4084391684939781</v>
      </c>
    </row>
    <row r="172" spans="1:26" x14ac:dyDescent="0.25">
      <c r="A172" s="9"/>
      <c r="B172" s="10"/>
      <c r="C172" s="10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O172" s="10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s="23" customFormat="1" ht="15.75" thickBot="1" x14ac:dyDescent="0.3">
      <c r="A173" s="10"/>
      <c r="B173" s="29" t="s">
        <v>126</v>
      </c>
      <c r="C173" s="29"/>
      <c r="D173" s="34">
        <f>+D169-D171</f>
        <v>143918.32000000004</v>
      </c>
      <c r="E173" s="14"/>
      <c r="F173" s="30">
        <f>IF(D$12=0,0,D173/D$12)</f>
        <v>0.86306425088212968</v>
      </c>
      <c r="G173" s="14"/>
      <c r="H173" s="34">
        <f>+H169-H171</f>
        <v>166475.33546007698</v>
      </c>
      <c r="I173" s="14"/>
      <c r="J173" s="30">
        <f>IF(H$12=0,0,H173/H$12)</f>
        <v>0.48995757621978364</v>
      </c>
      <c r="K173" s="16"/>
      <c r="L173" s="34">
        <f>D173-H173</f>
        <v>-22557.015460076946</v>
      </c>
      <c r="M173" s="16"/>
      <c r="N173" s="30">
        <f>IF(H173=0,0,L173/H173)</f>
        <v>-0.13549764232483807</v>
      </c>
      <c r="O173" s="28"/>
      <c r="P173" s="34">
        <f>+P169-P171</f>
        <v>124002.61000000016</v>
      </c>
      <c r="Q173" s="14"/>
      <c r="R173" s="30">
        <f>IF(P$12=0,0,P173/P$12)</f>
        <v>8.3905687201973278E-2</v>
      </c>
      <c r="S173" s="14"/>
      <c r="T173" s="34">
        <f>+T169-T171</f>
        <v>340412.95282649994</v>
      </c>
      <c r="U173" s="14"/>
      <c r="V173" s="30">
        <f>IF(T$12=0,0,T173/T$12)</f>
        <v>0.11691944537040311</v>
      </c>
      <c r="W173" s="16"/>
      <c r="X173" s="34">
        <f>P173-T173</f>
        <v>-216410.34282649978</v>
      </c>
      <c r="Y173" s="16"/>
      <c r="Z173" s="30">
        <f>IF(T173=0,0,X173/T173)</f>
        <v>-0.6357288729162982</v>
      </c>
    </row>
    <row r="174" spans="1:26" ht="15.75" thickTop="1" x14ac:dyDescent="0.25">
      <c r="A174" s="9"/>
      <c r="B174" s="9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x14ac:dyDescent="0.25">
      <c r="A175" s="9"/>
      <c r="B175" s="9"/>
      <c r="C175" s="9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ht="15.75" thickBot="1" x14ac:dyDescent="0.3">
      <c r="A176" s="10"/>
      <c r="B176" s="29" t="s">
        <v>294</v>
      </c>
      <c r="C176" s="29"/>
      <c r="D176" s="31">
        <f>SUM(D173:D175)</f>
        <v>143918.32000000004</v>
      </c>
      <c r="E176" s="14"/>
      <c r="F176" s="35">
        <f>IF(D$12=0,0,D176/D$12)</f>
        <v>0.86306425088212968</v>
      </c>
      <c r="G176" s="14"/>
      <c r="H176" s="31">
        <f>SUM(H173:H175)</f>
        <v>166475.33546007698</v>
      </c>
      <c r="I176" s="14"/>
      <c r="J176" s="35">
        <f>IF(H$12=0,0,H176/H$12)</f>
        <v>0.48995757621978364</v>
      </c>
      <c r="K176" s="16"/>
      <c r="L176" s="31">
        <f>+D176-H176</f>
        <v>-22557.015460076946</v>
      </c>
      <c r="M176" s="16"/>
      <c r="N176" s="35">
        <f>IF(H176=0,0,L176/H176)</f>
        <v>-0.13549764232483807</v>
      </c>
      <c r="O176" s="28"/>
      <c r="P176" s="31">
        <f>SUM(P173:P175)</f>
        <v>124002.61000000016</v>
      </c>
      <c r="Q176" s="14"/>
      <c r="R176" s="35">
        <f>IF(P$12=0,0,P176/P$12)</f>
        <v>8.3905687201973278E-2</v>
      </c>
      <c r="S176" s="14"/>
      <c r="T176" s="31">
        <f>SUM(T173:T175)</f>
        <v>340412.95282649994</v>
      </c>
      <c r="U176" s="14"/>
      <c r="V176" s="35">
        <f>IF(T$12=0,0,T176/T$12)</f>
        <v>0.11691944537040311</v>
      </c>
      <c r="W176" s="16"/>
      <c r="X176" s="31">
        <f>+P176-T176</f>
        <v>-216410.34282649978</v>
      </c>
      <c r="Y176" s="16"/>
      <c r="Z176" s="35">
        <f>IF(T176=0,0,X176/T176)</f>
        <v>-0.6357288729162982</v>
      </c>
    </row>
    <row r="177" spans="1:24" ht="15.75" thickTop="1" x14ac:dyDescent="0.25">
      <c r="A177" s="9"/>
      <c r="C177" s="9"/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  <row r="178" spans="1:24" x14ac:dyDescent="0.25">
      <c r="A178" s="9"/>
      <c r="B178" s="56">
        <v>44295.961786921296</v>
      </c>
      <c r="D178" s="18"/>
      <c r="E178" s="18"/>
      <c r="G178" s="18"/>
      <c r="H178" s="18"/>
      <c r="I178" s="18"/>
      <c r="J178" s="43"/>
      <c r="K178" s="18"/>
      <c r="L178" s="18"/>
      <c r="M178" s="18"/>
      <c r="P178" s="18"/>
      <c r="Q178" s="18"/>
      <c r="R178" s="43"/>
      <c r="S178" s="18"/>
      <c r="T178" s="18"/>
      <c r="U178" s="18"/>
      <c r="V178" s="43"/>
      <c r="W178" s="18"/>
      <c r="X178" s="18"/>
    </row>
    <row r="179" spans="1:24" x14ac:dyDescent="0.25">
      <c r="A179" s="9"/>
      <c r="B179" s="53" t="s">
        <v>56</v>
      </c>
      <c r="D179" s="18"/>
      <c r="E179" s="18"/>
      <c r="G179" s="18"/>
      <c r="H179" s="18"/>
      <c r="I179" s="18"/>
      <c r="J179" s="43"/>
      <c r="K179" s="18"/>
      <c r="L179" s="18"/>
      <c r="M179" s="18"/>
      <c r="P179" s="18"/>
      <c r="Q179" s="18"/>
      <c r="R179" s="43"/>
      <c r="S179" s="18"/>
      <c r="T179" s="18"/>
      <c r="U179" s="18"/>
      <c r="V179" s="43"/>
      <c r="W179" s="18"/>
      <c r="X179" s="18"/>
    </row>
    <row r="180" spans="1:24" x14ac:dyDescent="0.25">
      <c r="A180" s="9"/>
      <c r="B180" s="54"/>
      <c r="D180" s="18"/>
      <c r="E180" s="18"/>
      <c r="G180" s="18"/>
      <c r="H180" s="18"/>
      <c r="I180" s="18"/>
      <c r="J180" s="43"/>
      <c r="K180" s="18"/>
      <c r="L180" s="18"/>
      <c r="M180" s="18"/>
      <c r="P180" s="18"/>
      <c r="Q180" s="18"/>
      <c r="R180" s="43"/>
      <c r="S180" s="18"/>
      <c r="T180" s="18"/>
      <c r="U180" s="18"/>
      <c r="V180" s="43"/>
      <c r="W180" s="18"/>
      <c r="X180" s="18"/>
    </row>
    <row r="181" spans="1:24" x14ac:dyDescent="0.25">
      <c r="D181" s="18"/>
      <c r="E181" s="18"/>
      <c r="G181" s="18"/>
      <c r="H181" s="18"/>
      <c r="I181" s="18"/>
      <c r="J181" s="43"/>
      <c r="K181" s="18"/>
      <c r="L181" s="18"/>
      <c r="M181" s="18"/>
      <c r="P181" s="18"/>
      <c r="Q181" s="18"/>
      <c r="R181" s="43"/>
      <c r="S181" s="18"/>
      <c r="T181" s="18"/>
      <c r="U181" s="18"/>
      <c r="V181" s="43"/>
      <c r="W181" s="18"/>
      <c r="X18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142705.22999999998</v>
      </c>
      <c r="E12" s="4"/>
      <c r="F12" s="12"/>
      <c r="G12" s="4"/>
      <c r="H12" s="4">
        <f>SUM(OSRRefH13x_0)</f>
        <v>299988</v>
      </c>
      <c r="I12" s="4"/>
      <c r="J12" s="12"/>
      <c r="K12" s="4"/>
      <c r="L12" s="4">
        <f t="shared" ref="L12:L50" si="0">+D12-H12</f>
        <v>-157282.77000000002</v>
      </c>
      <c r="M12" s="4"/>
      <c r="N12" s="12">
        <f t="shared" ref="N12:N50" si="1">IF(H12=0,0,L12/H12)</f>
        <v>-0.52429687187487506</v>
      </c>
      <c r="O12" s="10"/>
      <c r="P12" s="4">
        <f>SUM(OSRRefP13x_0)</f>
        <v>1269594.9500000004</v>
      </c>
      <c r="Q12" s="4"/>
      <c r="R12" s="12"/>
      <c r="S12" s="4"/>
      <c r="T12" s="4">
        <f>SUM(OSRRefT13x_0)</f>
        <v>2488967</v>
      </c>
      <c r="U12" s="4"/>
      <c r="V12" s="12"/>
      <c r="W12" s="4"/>
      <c r="X12" s="4">
        <f t="shared" ref="X12:X50" si="2">+P12-T12</f>
        <v>-1219372.0499999996</v>
      </c>
      <c r="Y12" s="4"/>
      <c r="Z12" s="12">
        <f t="shared" ref="Z12:Z50" si="3">IF(T12=0,0,X12/T12)</f>
        <v>-0.489910894760758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-10801.86</f>
        <v>-10801.86</v>
      </c>
      <c r="E13" s="2"/>
      <c r="F13" s="19"/>
      <c r="G13" s="2"/>
      <c r="H13" s="2">
        <v>299988</v>
      </c>
      <c r="I13" s="2"/>
      <c r="J13" s="19"/>
      <c r="K13" s="2"/>
      <c r="L13" s="2">
        <f t="shared" si="0"/>
        <v>-310789.86</v>
      </c>
      <c r="M13" s="2"/>
      <c r="N13" s="19">
        <f t="shared" si="1"/>
        <v>-1.0360076403056122</v>
      </c>
      <c r="O13" s="11"/>
      <c r="P13" s="2">
        <f>-104956.22</f>
        <v>-104956.22</v>
      </c>
      <c r="Q13" s="2"/>
      <c r="R13" s="19"/>
      <c r="S13" s="2"/>
      <c r="T13" s="2">
        <v>2488967</v>
      </c>
      <c r="U13" s="2"/>
      <c r="V13" s="19"/>
      <c r="W13" s="2"/>
      <c r="X13" s="2">
        <f t="shared" si="2"/>
        <v>-2593923.2200000002</v>
      </c>
      <c r="Y13" s="2"/>
      <c r="Z13" s="19">
        <f t="shared" si="3"/>
        <v>-1.042168586405525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/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--2968.83</f>
        <v>2968.83</v>
      </c>
      <c r="E15" s="2"/>
      <c r="F15" s="19"/>
      <c r="G15" s="2"/>
      <c r="H15" s="2"/>
      <c r="I15" s="2"/>
      <c r="J15" s="19"/>
      <c r="K15" s="2"/>
      <c r="L15" s="2">
        <f t="shared" si="0"/>
        <v>2968.83</v>
      </c>
      <c r="M15" s="2"/>
      <c r="N15" s="19">
        <f t="shared" si="1"/>
        <v>0</v>
      </c>
      <c r="O15" s="11"/>
      <c r="P15" s="2">
        <f>--49128.95</f>
        <v>49128.95</v>
      </c>
      <c r="Q15" s="2"/>
      <c r="R15" s="19"/>
      <c r="S15" s="2"/>
      <c r="T15" s="2"/>
      <c r="U15" s="2"/>
      <c r="V15" s="19"/>
      <c r="W15" s="2"/>
      <c r="X15" s="2">
        <f t="shared" si="2"/>
        <v>49128.95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--3372.76</f>
        <v>3372.76</v>
      </c>
      <c r="E16" s="2"/>
      <c r="F16" s="19"/>
      <c r="G16" s="2"/>
      <c r="H16" s="2"/>
      <c r="I16" s="2"/>
      <c r="J16" s="19"/>
      <c r="K16" s="2"/>
      <c r="L16" s="2">
        <f t="shared" si="0"/>
        <v>3372.76</v>
      </c>
      <c r="M16" s="2"/>
      <c r="N16" s="19">
        <f t="shared" si="1"/>
        <v>0</v>
      </c>
      <c r="O16" s="11"/>
      <c r="P16" s="2">
        <f>--31741.09</f>
        <v>31741.09</v>
      </c>
      <c r="Q16" s="2"/>
      <c r="R16" s="19"/>
      <c r="S16" s="2"/>
      <c r="T16" s="2"/>
      <c r="U16" s="2"/>
      <c r="V16" s="19"/>
      <c r="W16" s="2"/>
      <c r="X16" s="2">
        <f t="shared" si="2"/>
        <v>31741.09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--434.03</f>
        <v>434.03</v>
      </c>
      <c r="E17" s="2"/>
      <c r="F17" s="19"/>
      <c r="G17" s="2"/>
      <c r="H17" s="2"/>
      <c r="I17" s="2"/>
      <c r="J17" s="19"/>
      <c r="K17" s="2"/>
      <c r="L17" s="2">
        <f t="shared" si="0"/>
        <v>434.03</v>
      </c>
      <c r="M17" s="2"/>
      <c r="N17" s="19">
        <f t="shared" si="1"/>
        <v>0</v>
      </c>
      <c r="O17" s="11"/>
      <c r="P17" s="2">
        <f>--3240.32</f>
        <v>3240.32</v>
      </c>
      <c r="Q17" s="2"/>
      <c r="R17" s="19"/>
      <c r="S17" s="2"/>
      <c r="T17" s="2"/>
      <c r="U17" s="2"/>
      <c r="V17" s="19"/>
      <c r="W17" s="2"/>
      <c r="X17" s="2">
        <f t="shared" si="2"/>
        <v>3240.32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--62935.57</f>
        <v>62935.57</v>
      </c>
      <c r="E19" s="2"/>
      <c r="F19" s="19"/>
      <c r="G19" s="2"/>
      <c r="H19" s="2"/>
      <c r="I19" s="2"/>
      <c r="J19" s="19"/>
      <c r="K19" s="2"/>
      <c r="L19" s="2">
        <f t="shared" si="0"/>
        <v>62935.57</v>
      </c>
      <c r="M19" s="2"/>
      <c r="N19" s="19">
        <f t="shared" si="1"/>
        <v>0</v>
      </c>
      <c r="O19" s="11"/>
      <c r="P19" s="2">
        <f>--580543.51</f>
        <v>580543.51</v>
      </c>
      <c r="Q19" s="2"/>
      <c r="R19" s="19"/>
      <c r="S19" s="2"/>
      <c r="T19" s="2"/>
      <c r="U19" s="2"/>
      <c r="V19" s="19"/>
      <c r="W19" s="2"/>
      <c r="X19" s="2">
        <f t="shared" si="2"/>
        <v>580543.51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--44302.47</f>
        <v>44302.47</v>
      </c>
      <c r="E20" s="2"/>
      <c r="F20" s="19"/>
      <c r="G20" s="2"/>
      <c r="H20" s="2"/>
      <c r="I20" s="2"/>
      <c r="J20" s="19"/>
      <c r="K20" s="2"/>
      <c r="L20" s="2">
        <f t="shared" si="0"/>
        <v>44302.47</v>
      </c>
      <c r="M20" s="2"/>
      <c r="N20" s="19">
        <f t="shared" si="1"/>
        <v>0</v>
      </c>
      <c r="O20" s="11"/>
      <c r="P20" s="2">
        <f>--204521.47</f>
        <v>204521.47</v>
      </c>
      <c r="Q20" s="2"/>
      <c r="R20" s="19"/>
      <c r="S20" s="2"/>
      <c r="T20" s="2"/>
      <c r="U20" s="2"/>
      <c r="V20" s="19"/>
      <c r="W20" s="2"/>
      <c r="X20" s="2">
        <f t="shared" si="2"/>
        <v>204521.47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--9072.61</f>
        <v>9072.61</v>
      </c>
      <c r="E21" s="2"/>
      <c r="F21" s="19"/>
      <c r="G21" s="2"/>
      <c r="H21" s="2"/>
      <c r="I21" s="2"/>
      <c r="J21" s="19"/>
      <c r="K21" s="2"/>
      <c r="L21" s="2">
        <f t="shared" si="0"/>
        <v>9072.61</v>
      </c>
      <c r="M21" s="2"/>
      <c r="N21" s="19">
        <f t="shared" si="1"/>
        <v>0</v>
      </c>
      <c r="O21" s="11"/>
      <c r="P21" s="2">
        <f>--66009.22</f>
        <v>66009.22</v>
      </c>
      <c r="Q21" s="2"/>
      <c r="R21" s="19"/>
      <c r="S21" s="2"/>
      <c r="T21" s="2"/>
      <c r="U21" s="2"/>
      <c r="V21" s="19"/>
      <c r="W21" s="2"/>
      <c r="X21" s="2">
        <f t="shared" si="2"/>
        <v>66009.22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--7137.65</f>
        <v>7137.65</v>
      </c>
      <c r="E22" s="2"/>
      <c r="F22" s="19"/>
      <c r="G22" s="2"/>
      <c r="H22" s="2"/>
      <c r="I22" s="2"/>
      <c r="J22" s="19"/>
      <c r="K22" s="2"/>
      <c r="L22" s="2">
        <f t="shared" si="0"/>
        <v>7137.65</v>
      </c>
      <c r="M22" s="2"/>
      <c r="N22" s="19">
        <f t="shared" si="1"/>
        <v>0</v>
      </c>
      <c r="O22" s="11"/>
      <c r="P22" s="2">
        <f>--121693.59</f>
        <v>121693.59</v>
      </c>
      <c r="Q22" s="2"/>
      <c r="R22" s="19"/>
      <c r="S22" s="2"/>
      <c r="T22" s="2"/>
      <c r="U22" s="2"/>
      <c r="V22" s="19"/>
      <c r="W22" s="2"/>
      <c r="X22" s="2">
        <f t="shared" si="2"/>
        <v>121693.59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--1633.81</f>
        <v>1633.81</v>
      </c>
      <c r="E23" s="2"/>
      <c r="F23" s="19"/>
      <c r="G23" s="2"/>
      <c r="H23" s="2"/>
      <c r="I23" s="2"/>
      <c r="J23" s="19"/>
      <c r="K23" s="2"/>
      <c r="L23" s="2">
        <f t="shared" si="0"/>
        <v>1633.81</v>
      </c>
      <c r="M23" s="2"/>
      <c r="N23" s="19">
        <f t="shared" si="1"/>
        <v>0</v>
      </c>
      <c r="O23" s="11"/>
      <c r="P23" s="2">
        <f>--29035.46</f>
        <v>29035.46</v>
      </c>
      <c r="Q23" s="2"/>
      <c r="R23" s="19"/>
      <c r="S23" s="2"/>
      <c r="T23" s="2"/>
      <c r="U23" s="2"/>
      <c r="V23" s="19"/>
      <c r="W23" s="2"/>
      <c r="X23" s="2">
        <f t="shared" si="2"/>
        <v>29035.46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--8707.87</f>
        <v>8707.8700000000008</v>
      </c>
      <c r="E24" s="2"/>
      <c r="F24" s="19"/>
      <c r="G24" s="2"/>
      <c r="H24" s="2"/>
      <c r="I24" s="2"/>
      <c r="J24" s="19"/>
      <c r="K24" s="2"/>
      <c r="L24" s="2">
        <f t="shared" si="0"/>
        <v>8707.8700000000008</v>
      </c>
      <c r="M24" s="2"/>
      <c r="N24" s="19">
        <f t="shared" si="1"/>
        <v>0</v>
      </c>
      <c r="O24" s="11"/>
      <c r="P24" s="2">
        <f>--143871.07</f>
        <v>143871.07</v>
      </c>
      <c r="Q24" s="2"/>
      <c r="R24" s="19"/>
      <c r="S24" s="2"/>
      <c r="T24" s="2"/>
      <c r="U24" s="2"/>
      <c r="V24" s="19"/>
      <c r="W24" s="2"/>
      <c r="X24" s="2">
        <f t="shared" si="2"/>
        <v>143871.07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--389.95</f>
        <v>389.95</v>
      </c>
      <c r="E26" s="2"/>
      <c r="F26" s="19"/>
      <c r="G26" s="2"/>
      <c r="H26" s="2"/>
      <c r="I26" s="2"/>
      <c r="J26" s="19"/>
      <c r="K26" s="2"/>
      <c r="L26" s="2">
        <f t="shared" si="0"/>
        <v>389.95</v>
      </c>
      <c r="M26" s="2"/>
      <c r="N26" s="19">
        <f t="shared" si="1"/>
        <v>0</v>
      </c>
      <c r="O26" s="11"/>
      <c r="P26" s="2">
        <f>--6607.31</f>
        <v>6607.31</v>
      </c>
      <c r="Q26" s="2"/>
      <c r="R26" s="19"/>
      <c r="S26" s="2"/>
      <c r="T26" s="2"/>
      <c r="U26" s="2"/>
      <c r="V26" s="19"/>
      <c r="W26" s="2"/>
      <c r="X26" s="2">
        <f t="shared" si="2"/>
        <v>6607.31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--38.58</f>
        <v>38.58</v>
      </c>
      <c r="Q27" s="2"/>
      <c r="R27" s="19"/>
      <c r="S27" s="2"/>
      <c r="T27" s="2"/>
      <c r="U27" s="2"/>
      <c r="V27" s="19"/>
      <c r="W27" s="2"/>
      <c r="X27" s="2">
        <f t="shared" si="2"/>
        <v>38.58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--826.28</f>
        <v>826.28</v>
      </c>
      <c r="E28" s="2"/>
      <c r="F28" s="19"/>
      <c r="G28" s="2"/>
      <c r="H28" s="2"/>
      <c r="I28" s="2"/>
      <c r="J28" s="19"/>
      <c r="K28" s="2"/>
      <c r="L28" s="2">
        <f t="shared" si="0"/>
        <v>826.28</v>
      </c>
      <c r="M28" s="2"/>
      <c r="N28" s="19">
        <f t="shared" si="1"/>
        <v>0</v>
      </c>
      <c r="O28" s="11"/>
      <c r="P28" s="2">
        <f>--8512.27</f>
        <v>8512.27</v>
      </c>
      <c r="Q28" s="2"/>
      <c r="R28" s="19"/>
      <c r="S28" s="2"/>
      <c r="T28" s="2"/>
      <c r="U28" s="2"/>
      <c r="V28" s="19"/>
      <c r="W28" s="2"/>
      <c r="X28" s="2">
        <f t="shared" si="2"/>
        <v>8512.27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/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--16592.7</f>
        <v>16592.7</v>
      </c>
      <c r="E33" s="2"/>
      <c r="F33" s="19"/>
      <c r="G33" s="2"/>
      <c r="H33" s="2"/>
      <c r="I33" s="2"/>
      <c r="J33" s="19"/>
      <c r="K33" s="2"/>
      <c r="L33" s="2">
        <f t="shared" si="0"/>
        <v>16592.7</v>
      </c>
      <c r="M33" s="2"/>
      <c r="N33" s="19">
        <f t="shared" si="1"/>
        <v>0</v>
      </c>
      <c r="O33" s="11"/>
      <c r="P33" s="2">
        <f>--131552.2</f>
        <v>131552.20000000001</v>
      </c>
      <c r="Q33" s="2"/>
      <c r="R33" s="19"/>
      <c r="S33" s="2"/>
      <c r="T33" s="2"/>
      <c r="U33" s="2"/>
      <c r="V33" s="19"/>
      <c r="W33" s="2"/>
      <c r="X33" s="2">
        <f t="shared" si="2"/>
        <v>131552.20000000001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--1055.22</f>
        <v>1055.22</v>
      </c>
      <c r="E34" s="2"/>
      <c r="F34" s="19"/>
      <c r="G34" s="2"/>
      <c r="H34" s="2"/>
      <c r="I34" s="2"/>
      <c r="J34" s="19"/>
      <c r="K34" s="2"/>
      <c r="L34" s="2">
        <f t="shared" si="0"/>
        <v>1055.22</v>
      </c>
      <c r="M34" s="2"/>
      <c r="N34" s="19">
        <f t="shared" si="1"/>
        <v>0</v>
      </c>
      <c r="O34" s="11"/>
      <c r="P34" s="2">
        <f>--8289.6</f>
        <v>8289.6</v>
      </c>
      <c r="Q34" s="2"/>
      <c r="R34" s="19"/>
      <c r="S34" s="2"/>
      <c r="T34" s="2"/>
      <c r="U34" s="2"/>
      <c r="V34" s="19"/>
      <c r="W34" s="2"/>
      <c r="X34" s="2">
        <f t="shared" si="2"/>
        <v>8289.6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--16.9</f>
        <v>16.899999999999999</v>
      </c>
      <c r="E35" s="2"/>
      <c r="F35" s="19"/>
      <c r="G35" s="2"/>
      <c r="H35" s="2"/>
      <c r="I35" s="2"/>
      <c r="J35" s="19"/>
      <c r="K35" s="2"/>
      <c r="L35" s="2">
        <f t="shared" si="0"/>
        <v>16.899999999999999</v>
      </c>
      <c r="M35" s="2"/>
      <c r="N35" s="19">
        <f t="shared" si="1"/>
        <v>0</v>
      </c>
      <c r="O35" s="11"/>
      <c r="P35" s="2">
        <f>--1170.78</f>
        <v>1170.78</v>
      </c>
      <c r="Q35" s="2"/>
      <c r="R35" s="19"/>
      <c r="S35" s="2"/>
      <c r="T35" s="2"/>
      <c r="U35" s="2"/>
      <c r="V35" s="19"/>
      <c r="W35" s="2"/>
      <c r="X35" s="2">
        <f t="shared" si="2"/>
        <v>1170.78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--261.82</f>
        <v>261.82</v>
      </c>
      <c r="E36" s="2"/>
      <c r="F36" s="19"/>
      <c r="G36" s="2"/>
      <c r="H36" s="2"/>
      <c r="I36" s="2"/>
      <c r="J36" s="19"/>
      <c r="K36" s="2"/>
      <c r="L36" s="2">
        <f t="shared" si="0"/>
        <v>261.82</v>
      </c>
      <c r="M36" s="2"/>
      <c r="N36" s="19">
        <f t="shared" si="1"/>
        <v>0</v>
      </c>
      <c r="O36" s="11"/>
      <c r="P36" s="2">
        <f>--2381.48</f>
        <v>2381.48</v>
      </c>
      <c r="Q36" s="2"/>
      <c r="R36" s="19"/>
      <c r="S36" s="2"/>
      <c r="T36" s="2"/>
      <c r="U36" s="2"/>
      <c r="V36" s="19"/>
      <c r="W36" s="2"/>
      <c r="X36" s="2">
        <f t="shared" si="2"/>
        <v>2381.48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--29.9</f>
        <v>29.9</v>
      </c>
      <c r="E37" s="2"/>
      <c r="F37" s="19"/>
      <c r="G37" s="2"/>
      <c r="H37" s="2"/>
      <c r="I37" s="2"/>
      <c r="J37" s="19"/>
      <c r="K37" s="2"/>
      <c r="L37" s="2">
        <f t="shared" si="0"/>
        <v>29.9</v>
      </c>
      <c r="M37" s="2"/>
      <c r="N37" s="19">
        <f t="shared" si="1"/>
        <v>0</v>
      </c>
      <c r="O37" s="11"/>
      <c r="P37" s="2">
        <f>--679.25</f>
        <v>679.25</v>
      </c>
      <c r="Q37" s="2"/>
      <c r="R37" s="19"/>
      <c r="S37" s="2"/>
      <c r="T37" s="2"/>
      <c r="U37" s="2"/>
      <c r="V37" s="19"/>
      <c r="W37" s="2"/>
      <c r="X37" s="2">
        <f t="shared" si="2"/>
        <v>679.25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5"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--53709.09</f>
        <v>53709.09</v>
      </c>
      <c r="Q38" s="2"/>
      <c r="R38" s="19"/>
      <c r="S38" s="2"/>
      <c r="T38" s="2"/>
      <c r="U38" s="2"/>
      <c r="V38" s="19"/>
      <c r="W38" s="2"/>
      <c r="X38" s="2">
        <f t="shared" si="2"/>
        <v>53709.09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5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/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-64.39</f>
        <v>-64.39</v>
      </c>
      <c r="E40" s="2"/>
      <c r="F40" s="19"/>
      <c r="G40" s="2"/>
      <c r="H40" s="2"/>
      <c r="I40" s="2"/>
      <c r="J40" s="19"/>
      <c r="K40" s="2"/>
      <c r="L40" s="2">
        <f t="shared" si="0"/>
        <v>-64.39</v>
      </c>
      <c r="M40" s="2"/>
      <c r="N40" s="19">
        <f t="shared" si="1"/>
        <v>0</v>
      </c>
      <c r="O40" s="11"/>
      <c r="P40" s="2">
        <f>-642.94</f>
        <v>-642.94000000000005</v>
      </c>
      <c r="Q40" s="2"/>
      <c r="R40" s="19"/>
      <c r="S40" s="2"/>
      <c r="T40" s="2"/>
      <c r="U40" s="2"/>
      <c r="V40" s="19"/>
      <c r="W40" s="2"/>
      <c r="X40" s="2">
        <f t="shared" si="2"/>
        <v>-642.94000000000005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-98.38</f>
        <v>-98.38</v>
      </c>
      <c r="E41" s="2"/>
      <c r="F41" s="19"/>
      <c r="G41" s="2"/>
      <c r="H41" s="2"/>
      <c r="I41" s="2"/>
      <c r="J41" s="19"/>
      <c r="K41" s="2"/>
      <c r="L41" s="2">
        <f t="shared" si="0"/>
        <v>-98.38</v>
      </c>
      <c r="M41" s="2"/>
      <c r="N41" s="19">
        <f t="shared" si="1"/>
        <v>0</v>
      </c>
      <c r="O41" s="11"/>
      <c r="P41" s="2">
        <f>-12615.42</f>
        <v>-12615.42</v>
      </c>
      <c r="Q41" s="2"/>
      <c r="R41" s="19"/>
      <c r="S41" s="2"/>
      <c r="T41" s="2"/>
      <c r="U41" s="2"/>
      <c r="V41" s="19"/>
      <c r="W41" s="2"/>
      <c r="X41" s="2">
        <f t="shared" si="2"/>
        <v>-12615.42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-3309.8</f>
        <v>-3309.8</v>
      </c>
      <c r="E42" s="2"/>
      <c r="F42" s="19"/>
      <c r="G42" s="2"/>
      <c r="H42" s="2"/>
      <c r="I42" s="2"/>
      <c r="J42" s="19"/>
      <c r="K42" s="2"/>
      <c r="L42" s="2">
        <f t="shared" si="0"/>
        <v>-3309.8</v>
      </c>
      <c r="M42" s="2"/>
      <c r="N42" s="19">
        <f t="shared" si="1"/>
        <v>0</v>
      </c>
      <c r="O42" s="11"/>
      <c r="P42" s="2">
        <f>-27103.03</f>
        <v>-27103.03</v>
      </c>
      <c r="Q42" s="2"/>
      <c r="R42" s="19"/>
      <c r="S42" s="2"/>
      <c r="T42" s="2"/>
      <c r="U42" s="2"/>
      <c r="V42" s="19"/>
      <c r="W42" s="2"/>
      <c r="X42" s="2">
        <f t="shared" si="2"/>
        <v>-27103.03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-1043.03</f>
        <v>-1043.03</v>
      </c>
      <c r="E43" s="2"/>
      <c r="F43" s="19"/>
      <c r="G43" s="2"/>
      <c r="H43" s="2"/>
      <c r="I43" s="2"/>
      <c r="J43" s="19"/>
      <c r="K43" s="2"/>
      <c r="L43" s="2">
        <f t="shared" si="0"/>
        <v>-1043.03</v>
      </c>
      <c r="M43" s="2"/>
      <c r="N43" s="19">
        <f t="shared" si="1"/>
        <v>0</v>
      </c>
      <c r="O43" s="11"/>
      <c r="P43" s="2">
        <f>-4693.34</f>
        <v>-4693.34</v>
      </c>
      <c r="Q43" s="2"/>
      <c r="R43" s="19"/>
      <c r="S43" s="2"/>
      <c r="T43" s="2"/>
      <c r="U43" s="2"/>
      <c r="V43" s="19"/>
      <c r="W43" s="2"/>
      <c r="X43" s="2">
        <f t="shared" si="2"/>
        <v>-4693.34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-535.13</f>
        <v>-535.13</v>
      </c>
      <c r="E44" s="2"/>
      <c r="F44" s="19"/>
      <c r="G44" s="2"/>
      <c r="H44" s="2"/>
      <c r="I44" s="2"/>
      <c r="J44" s="19"/>
      <c r="K44" s="2"/>
      <c r="L44" s="2">
        <f t="shared" si="0"/>
        <v>-535.13</v>
      </c>
      <c r="M44" s="2"/>
      <c r="N44" s="19">
        <f t="shared" si="1"/>
        <v>0</v>
      </c>
      <c r="O44" s="11"/>
      <c r="P44" s="2">
        <f>-1977.76</f>
        <v>-1977.76</v>
      </c>
      <c r="Q44" s="2"/>
      <c r="R44" s="19"/>
      <c r="S44" s="2"/>
      <c r="T44" s="2"/>
      <c r="U44" s="2"/>
      <c r="V44" s="19"/>
      <c r="W44" s="2"/>
      <c r="X44" s="2">
        <f t="shared" si="2"/>
        <v>-1977.76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-572.63</f>
        <v>-572.63</v>
      </c>
      <c r="E45" s="2"/>
      <c r="F45" s="19"/>
      <c r="G45" s="2"/>
      <c r="H45" s="2"/>
      <c r="I45" s="2"/>
      <c r="J45" s="19"/>
      <c r="K45" s="2"/>
      <c r="L45" s="2">
        <f t="shared" si="0"/>
        <v>-572.63</v>
      </c>
      <c r="M45" s="2"/>
      <c r="N45" s="19">
        <f t="shared" si="1"/>
        <v>0</v>
      </c>
      <c r="O45" s="11"/>
      <c r="P45" s="2">
        <f>-5942.23</f>
        <v>-5942.23</v>
      </c>
      <c r="Q45" s="2"/>
      <c r="R45" s="19"/>
      <c r="S45" s="2"/>
      <c r="T45" s="2"/>
      <c r="U45" s="2"/>
      <c r="V45" s="19"/>
      <c r="W45" s="2"/>
      <c r="X45" s="2">
        <f t="shared" si="2"/>
        <v>-5942.23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-227.47</f>
        <v>-227.47</v>
      </c>
      <c r="E46" s="2"/>
      <c r="F46" s="19"/>
      <c r="G46" s="2"/>
      <c r="H46" s="2"/>
      <c r="I46" s="2"/>
      <c r="J46" s="19"/>
      <c r="K46" s="2"/>
      <c r="L46" s="2">
        <f t="shared" si="0"/>
        <v>-227.47</v>
      </c>
      <c r="M46" s="2"/>
      <c r="N46" s="19">
        <f t="shared" si="1"/>
        <v>0</v>
      </c>
      <c r="O46" s="11"/>
      <c r="P46" s="2">
        <f>-1192.38</f>
        <v>-1192.3800000000001</v>
      </c>
      <c r="Q46" s="2"/>
      <c r="R46" s="19"/>
      <c r="S46" s="2"/>
      <c r="T46" s="2"/>
      <c r="U46" s="2"/>
      <c r="V46" s="19"/>
      <c r="W46" s="2"/>
      <c r="X46" s="2">
        <f t="shared" si="2"/>
        <v>-1192.3800000000001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-11346.59</f>
        <v>-11346.59</v>
      </c>
      <c r="Q47" s="2"/>
      <c r="R47" s="19"/>
      <c r="S47" s="2"/>
      <c r="T47" s="2"/>
      <c r="U47" s="2"/>
      <c r="V47" s="19"/>
      <c r="W47" s="2"/>
      <c r="X47" s="2">
        <f t="shared" si="2"/>
        <v>-11346.59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-350.55</f>
        <v>-350.55</v>
      </c>
      <c r="E48" s="2"/>
      <c r="F48" s="19"/>
      <c r="G48" s="2"/>
      <c r="H48" s="2"/>
      <c r="I48" s="2"/>
      <c r="J48" s="19"/>
      <c r="K48" s="2"/>
      <c r="L48" s="2">
        <f t="shared" si="0"/>
        <v>-350.55</v>
      </c>
      <c r="M48" s="2"/>
      <c r="N48" s="19">
        <f t="shared" si="1"/>
        <v>0</v>
      </c>
      <c r="O48" s="11"/>
      <c r="P48" s="2">
        <f>-2643.39</f>
        <v>-2643.39</v>
      </c>
      <c r="Q48" s="2"/>
      <c r="R48" s="19"/>
      <c r="S48" s="2"/>
      <c r="T48" s="2"/>
      <c r="U48" s="2"/>
      <c r="V48" s="19"/>
      <c r="W48" s="2"/>
      <c r="X48" s="2">
        <f t="shared" si="2"/>
        <v>-2643.39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-29.9</f>
        <v>-29.9</v>
      </c>
      <c r="E49" s="2"/>
      <c r="F49" s="19"/>
      <c r="G49" s="2"/>
      <c r="H49" s="2"/>
      <c r="I49" s="2"/>
      <c r="J49" s="19"/>
      <c r="K49" s="2"/>
      <c r="L49" s="2">
        <f t="shared" si="0"/>
        <v>-29.9</v>
      </c>
      <c r="M49" s="2"/>
      <c r="N49" s="19">
        <f t="shared" si="1"/>
        <v>0</v>
      </c>
      <c r="O49" s="11"/>
      <c r="P49" s="2">
        <f>-381.34</f>
        <v>-381.34</v>
      </c>
      <c r="Q49" s="2"/>
      <c r="R49" s="19"/>
      <c r="S49" s="2"/>
      <c r="T49" s="2"/>
      <c r="U49" s="2"/>
      <c r="V49" s="19"/>
      <c r="W49" s="2"/>
      <c r="X49" s="2">
        <f t="shared" si="2"/>
        <v>-381.34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/>
      <c r="U50" s="2"/>
      <c r="V50" s="19"/>
      <c r="W50" s="2"/>
      <c r="X50" s="2">
        <f t="shared" si="2"/>
        <v>-118.7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257</v>
      </c>
      <c r="C52" s="10"/>
      <c r="D52" s="4">
        <f>SUM(OSRRefD16x_0)</f>
        <v>77854</v>
      </c>
      <c r="E52" s="4"/>
      <c r="F52" s="12">
        <f t="shared" ref="F52:F75" si="6">IF(D$12=0,0,D52/D$12)</f>
        <v>0.54555814107163425</v>
      </c>
      <c r="G52" s="4"/>
      <c r="H52" s="4">
        <f>SUM(OSRRefH16x_0)</f>
        <v>138744</v>
      </c>
      <c r="I52" s="4"/>
      <c r="J52" s="12">
        <f t="shared" ref="J52:J75" si="7">IF(H$12=0,0,H52/H$12)</f>
        <v>0.46249849993999759</v>
      </c>
      <c r="K52" s="4"/>
      <c r="L52" s="4">
        <f t="shared" ref="L52:L75" si="8">+D52-H52</f>
        <v>-60890</v>
      </c>
      <c r="M52" s="4"/>
      <c r="N52" s="12">
        <f t="shared" ref="N52:N75" si="9">IF(H52=0,0,L52/H52)</f>
        <v>-0.43886582482846104</v>
      </c>
      <c r="O52" s="10"/>
      <c r="P52" s="4">
        <f>SUM(OSRRefP16x_0)</f>
        <v>740856.54000000015</v>
      </c>
      <c r="Q52" s="4"/>
      <c r="R52" s="12">
        <f t="shared" ref="R52:R75" si="10">IF(P$12=0,0,P52/P$12)</f>
        <v>0.58353771807299637</v>
      </c>
      <c r="S52" s="4"/>
      <c r="T52" s="4">
        <f>SUM(OSRRefT16x_0)</f>
        <v>1151147</v>
      </c>
      <c r="U52" s="4"/>
      <c r="V52" s="12">
        <f t="shared" ref="V52:V75" si="11">IF(T$12=0,0,T52/T$12)</f>
        <v>0.46249990457888757</v>
      </c>
      <c r="W52" s="4"/>
      <c r="X52" s="4">
        <f t="shared" ref="X52:X75" si="12">+P52-T52</f>
        <v>-410290.45999999985</v>
      </c>
      <c r="Y52" s="4"/>
      <c r="Z52" s="12">
        <f t="shared" ref="Z52:Z75" si="13">IF(T52=0,0,X52/T52)</f>
        <v>-0.35641882400770697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6"/>
        <v>0</v>
      </c>
      <c r="G53" s="2"/>
      <c r="H53" s="2">
        <v>138744</v>
      </c>
      <c r="I53" s="2"/>
      <c r="J53" s="19">
        <f t="shared" si="7"/>
        <v>0.46249849993999759</v>
      </c>
      <c r="K53" s="2"/>
      <c r="L53" s="2">
        <f t="shared" si="8"/>
        <v>-138744</v>
      </c>
      <c r="M53" s="2"/>
      <c r="N53" s="19">
        <f t="shared" si="9"/>
        <v>-1</v>
      </c>
      <c r="O53" s="11"/>
      <c r="P53" s="2"/>
      <c r="Q53" s="2"/>
      <c r="R53" s="19">
        <f t="shared" si="10"/>
        <v>0</v>
      </c>
      <c r="S53" s="2"/>
      <c r="T53" s="2">
        <v>1151147</v>
      </c>
      <c r="U53" s="2"/>
      <c r="V53" s="19">
        <f t="shared" si="11"/>
        <v>0.46249990457888757</v>
      </c>
      <c r="W53" s="2"/>
      <c r="X53" s="2">
        <f t="shared" si="12"/>
        <v>-1151147</v>
      </c>
      <c r="Y53" s="2"/>
      <c r="Z53" s="19">
        <f t="shared" si="13"/>
        <v>-1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599.29</v>
      </c>
      <c r="Q54" s="2"/>
      <c r="R54" s="19">
        <f t="shared" si="10"/>
        <v>4.7203243837729486E-4</v>
      </c>
      <c r="S54" s="2"/>
      <c r="T54" s="2"/>
      <c r="U54" s="2"/>
      <c r="V54" s="19">
        <f t="shared" si="11"/>
        <v>0</v>
      </c>
      <c r="W54" s="2"/>
      <c r="X54" s="2">
        <f t="shared" si="12"/>
        <v>599.29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209.64</v>
      </c>
      <c r="E55" s="2"/>
      <c r="F55" s="19">
        <f t="shared" si="6"/>
        <v>1.4690421647475711E-3</v>
      </c>
      <c r="G55" s="2"/>
      <c r="H55" s="2"/>
      <c r="I55" s="2"/>
      <c r="J55" s="19">
        <f t="shared" si="7"/>
        <v>0</v>
      </c>
      <c r="K55" s="2"/>
      <c r="L55" s="2">
        <f t="shared" si="8"/>
        <v>209.64</v>
      </c>
      <c r="M55" s="2"/>
      <c r="N55" s="19">
        <f t="shared" si="9"/>
        <v>0</v>
      </c>
      <c r="O55" s="11"/>
      <c r="P55" s="2">
        <v>219.64</v>
      </c>
      <c r="Q55" s="2"/>
      <c r="R55" s="19">
        <f t="shared" si="10"/>
        <v>1.7300005801062766E-4</v>
      </c>
      <c r="S55" s="2"/>
      <c r="T55" s="2"/>
      <c r="U55" s="2"/>
      <c r="V55" s="19">
        <f t="shared" si="11"/>
        <v>0</v>
      </c>
      <c r="W55" s="2"/>
      <c r="X55" s="2">
        <f t="shared" si="12"/>
        <v>219.64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2824.53</v>
      </c>
      <c r="E56" s="2"/>
      <c r="F56" s="19">
        <f t="shared" si="6"/>
        <v>1.9792757420313192E-2</v>
      </c>
      <c r="G56" s="2"/>
      <c r="H56" s="2"/>
      <c r="I56" s="2"/>
      <c r="J56" s="19">
        <f t="shared" si="7"/>
        <v>0</v>
      </c>
      <c r="K56" s="2"/>
      <c r="L56" s="2">
        <f t="shared" si="8"/>
        <v>2824.53</v>
      </c>
      <c r="M56" s="2"/>
      <c r="N56" s="19">
        <f t="shared" si="9"/>
        <v>0</v>
      </c>
      <c r="O56" s="11"/>
      <c r="P56" s="2">
        <v>21000.41</v>
      </c>
      <c r="Q56" s="2"/>
      <c r="R56" s="19">
        <f t="shared" si="10"/>
        <v>1.6541031452590445E-2</v>
      </c>
      <c r="S56" s="2"/>
      <c r="T56" s="2"/>
      <c r="U56" s="2"/>
      <c r="V56" s="19">
        <f t="shared" si="11"/>
        <v>0</v>
      </c>
      <c r="W56" s="2"/>
      <c r="X56" s="2">
        <f t="shared" si="12"/>
        <v>21000.41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3443.78</v>
      </c>
      <c r="E57" s="2"/>
      <c r="F57" s="19">
        <f t="shared" si="6"/>
        <v>2.4132121857061584E-2</v>
      </c>
      <c r="G57" s="2"/>
      <c r="H57" s="2"/>
      <c r="I57" s="2"/>
      <c r="J57" s="19">
        <f t="shared" si="7"/>
        <v>0</v>
      </c>
      <c r="K57" s="2"/>
      <c r="L57" s="2">
        <f t="shared" si="8"/>
        <v>3443.78</v>
      </c>
      <c r="M57" s="2"/>
      <c r="N57" s="19">
        <f t="shared" si="9"/>
        <v>0</v>
      </c>
      <c r="O57" s="11"/>
      <c r="P57" s="2">
        <v>4193.51</v>
      </c>
      <c r="Q57" s="2"/>
      <c r="R57" s="19">
        <f t="shared" si="10"/>
        <v>3.3030298364056967E-3</v>
      </c>
      <c r="S57" s="2"/>
      <c r="T57" s="2"/>
      <c r="U57" s="2"/>
      <c r="V57" s="19">
        <f t="shared" si="11"/>
        <v>0</v>
      </c>
      <c r="W57" s="2"/>
      <c r="X57" s="2">
        <f t="shared" si="12"/>
        <v>4193.51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5344.15</v>
      </c>
      <c r="Q58" s="2"/>
      <c r="R58" s="19">
        <f t="shared" si="10"/>
        <v>4.209334638579019E-3</v>
      </c>
      <c r="S58" s="2"/>
      <c r="T58" s="2"/>
      <c r="U58" s="2"/>
      <c r="V58" s="19">
        <f t="shared" si="11"/>
        <v>0</v>
      </c>
      <c r="W58" s="2"/>
      <c r="X58" s="2">
        <f t="shared" si="12"/>
        <v>5344.15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45900.51</v>
      </c>
      <c r="E59" s="2"/>
      <c r="F59" s="19">
        <f t="shared" si="6"/>
        <v>0.32164560471960285</v>
      </c>
      <c r="G59" s="2"/>
      <c r="H59" s="2"/>
      <c r="I59" s="2"/>
      <c r="J59" s="19">
        <f t="shared" si="7"/>
        <v>0</v>
      </c>
      <c r="K59" s="2"/>
      <c r="L59" s="2">
        <f t="shared" si="8"/>
        <v>45900.51</v>
      </c>
      <c r="M59" s="2"/>
      <c r="N59" s="19">
        <f t="shared" si="9"/>
        <v>0</v>
      </c>
      <c r="O59" s="11"/>
      <c r="P59" s="2">
        <v>239871.6</v>
      </c>
      <c r="Q59" s="2"/>
      <c r="R59" s="19">
        <f t="shared" si="10"/>
        <v>0.18893553412448585</v>
      </c>
      <c r="S59" s="2"/>
      <c r="T59" s="2"/>
      <c r="U59" s="2"/>
      <c r="V59" s="19">
        <f t="shared" si="11"/>
        <v>0</v>
      </c>
      <c r="W59" s="2"/>
      <c r="X59" s="2">
        <f t="shared" si="12"/>
        <v>239871.6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"5041", " - ", "PURCHASES @ COST-LOGO GIFTS")</f>
        <v xml:space="preserve">          5041 - PURCHASES @ COST-LOGO GIFTS</v>
      </c>
      <c r="C60" s="11"/>
      <c r="D60" s="2">
        <v>899.63</v>
      </c>
      <c r="E60" s="2"/>
      <c r="F60" s="19">
        <f t="shared" si="6"/>
        <v>6.3041137315009415E-3</v>
      </c>
      <c r="G60" s="2"/>
      <c r="H60" s="2"/>
      <c r="I60" s="2"/>
      <c r="J60" s="19">
        <f t="shared" si="7"/>
        <v>0</v>
      </c>
      <c r="K60" s="2"/>
      <c r="L60" s="2">
        <f t="shared" si="8"/>
        <v>899.63</v>
      </c>
      <c r="M60" s="2"/>
      <c r="N60" s="19">
        <f t="shared" si="9"/>
        <v>0</v>
      </c>
      <c r="O60" s="11"/>
      <c r="P60" s="2">
        <v>68255.839999999997</v>
      </c>
      <c r="Q60" s="2"/>
      <c r="R60" s="19">
        <f t="shared" si="10"/>
        <v>5.376190256585376E-2</v>
      </c>
      <c r="S60" s="2"/>
      <c r="T60" s="2"/>
      <c r="U60" s="2"/>
      <c r="V60" s="19">
        <f t="shared" si="11"/>
        <v>0</v>
      </c>
      <c r="W60" s="2"/>
      <c r="X60" s="2">
        <f t="shared" si="12"/>
        <v>68255.839999999997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-270</v>
      </c>
      <c r="E61" s="2"/>
      <c r="F61" s="19">
        <f t="shared" si="6"/>
        <v>-1.892011946583878E-3</v>
      </c>
      <c r="G61" s="2"/>
      <c r="H61" s="2"/>
      <c r="I61" s="2"/>
      <c r="J61" s="19">
        <f t="shared" si="7"/>
        <v>0</v>
      </c>
      <c r="K61" s="2"/>
      <c r="L61" s="2">
        <f t="shared" si="8"/>
        <v>-270</v>
      </c>
      <c r="M61" s="2"/>
      <c r="N61" s="19">
        <f t="shared" si="9"/>
        <v>0</v>
      </c>
      <c r="O61" s="11"/>
      <c r="P61" s="2">
        <v>10802.14</v>
      </c>
      <c r="Q61" s="2"/>
      <c r="R61" s="19">
        <f t="shared" si="10"/>
        <v>8.5083356703647851E-3</v>
      </c>
      <c r="S61" s="2"/>
      <c r="T61" s="2"/>
      <c r="U61" s="2"/>
      <c r="V61" s="19">
        <f t="shared" si="11"/>
        <v>0</v>
      </c>
      <c r="W61" s="2"/>
      <c r="X61" s="2">
        <f t="shared" si="12"/>
        <v>10802.14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"5043", " - ", "PURCHASES @ COST-CARDS")</f>
        <v xml:space="preserve">          5043 - PURCHASES @ COST-CARDS</v>
      </c>
      <c r="C62" s="11"/>
      <c r="D62" s="2"/>
      <c r="E62" s="2"/>
      <c r="F62" s="19">
        <f t="shared" si="6"/>
        <v>0</v>
      </c>
      <c r="G62" s="2"/>
      <c r="H62" s="2"/>
      <c r="I62" s="2"/>
      <c r="J62" s="19">
        <f t="shared" si="7"/>
        <v>0</v>
      </c>
      <c r="K62" s="2"/>
      <c r="L62" s="2">
        <f t="shared" si="8"/>
        <v>0</v>
      </c>
      <c r="M62" s="2"/>
      <c r="N62" s="19">
        <f t="shared" si="9"/>
        <v>0</v>
      </c>
      <c r="O62" s="11"/>
      <c r="P62" s="2">
        <v>55364.33</v>
      </c>
      <c r="Q62" s="2"/>
      <c r="R62" s="19">
        <f t="shared" si="10"/>
        <v>4.3607868793113888E-2</v>
      </c>
      <c r="S62" s="2"/>
      <c r="T62" s="2"/>
      <c r="U62" s="2"/>
      <c r="V62" s="19">
        <f t="shared" si="11"/>
        <v>0</v>
      </c>
      <c r="W62" s="2"/>
      <c r="X62" s="2">
        <f t="shared" si="12"/>
        <v>55364.33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19">
        <f t="shared" si="6"/>
        <v>0</v>
      </c>
      <c r="G63" s="2"/>
      <c r="H63" s="2"/>
      <c r="I63" s="2"/>
      <c r="J63" s="19">
        <f t="shared" si="7"/>
        <v>0</v>
      </c>
      <c r="K63" s="2"/>
      <c r="L63" s="2">
        <f t="shared" si="8"/>
        <v>0</v>
      </c>
      <c r="M63" s="2"/>
      <c r="N63" s="19">
        <f t="shared" si="9"/>
        <v>0</v>
      </c>
      <c r="O63" s="11"/>
      <c r="P63" s="2">
        <v>1064.83</v>
      </c>
      <c r="Q63" s="2"/>
      <c r="R63" s="19">
        <f t="shared" si="10"/>
        <v>8.3871631657009944E-4</v>
      </c>
      <c r="S63" s="2"/>
      <c r="T63" s="2"/>
      <c r="U63" s="2"/>
      <c r="V63" s="19">
        <f t="shared" si="11"/>
        <v>0</v>
      </c>
      <c r="W63" s="2"/>
      <c r="X63" s="2">
        <f t="shared" si="12"/>
        <v>1064.83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13853.18</v>
      </c>
      <c r="E64" s="2"/>
      <c r="F64" s="19">
        <f t="shared" si="6"/>
        <v>9.7075489104358703E-2</v>
      </c>
      <c r="G64" s="2"/>
      <c r="H64" s="2"/>
      <c r="I64" s="2"/>
      <c r="J64" s="19">
        <f t="shared" si="7"/>
        <v>0</v>
      </c>
      <c r="K64" s="2"/>
      <c r="L64" s="2">
        <f t="shared" si="8"/>
        <v>13853.18</v>
      </c>
      <c r="M64" s="2"/>
      <c r="N64" s="19">
        <f t="shared" si="9"/>
        <v>0</v>
      </c>
      <c r="O64" s="11"/>
      <c r="P64" s="2">
        <v>109226.69</v>
      </c>
      <c r="Q64" s="2"/>
      <c r="R64" s="19">
        <f t="shared" si="10"/>
        <v>8.6032706730599373E-2</v>
      </c>
      <c r="S64" s="2"/>
      <c r="T64" s="2"/>
      <c r="U64" s="2"/>
      <c r="V64" s="19">
        <f t="shared" si="11"/>
        <v>0</v>
      </c>
      <c r="W64" s="2"/>
      <c r="X64" s="2">
        <f t="shared" si="12"/>
        <v>109226.69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"5200", " - ", "PURCHASES OFFSET")</f>
        <v xml:space="preserve">          5200 - PURCHASES OFFSET</v>
      </c>
      <c r="C65" s="11"/>
      <c r="D65" s="2">
        <v>-68518.25</v>
      </c>
      <c r="E65" s="2"/>
      <c r="F65" s="19">
        <f t="shared" si="6"/>
        <v>-0.48013832429266967</v>
      </c>
      <c r="G65" s="2"/>
      <c r="H65" s="2"/>
      <c r="I65" s="2"/>
      <c r="J65" s="19">
        <f t="shared" si="7"/>
        <v>0</v>
      </c>
      <c r="K65" s="2"/>
      <c r="L65" s="2">
        <f t="shared" si="8"/>
        <v>-68518.25</v>
      </c>
      <c r="M65" s="2"/>
      <c r="N65" s="19">
        <f t="shared" si="9"/>
        <v>0</v>
      </c>
      <c r="O65" s="11"/>
      <c r="P65" s="2">
        <v>-535704.61</v>
      </c>
      <c r="Q65" s="2"/>
      <c r="R65" s="19">
        <f t="shared" si="10"/>
        <v>-0.42194922876780488</v>
      </c>
      <c r="S65" s="2"/>
      <c r="T65" s="2"/>
      <c r="U65" s="2"/>
      <c r="V65" s="19">
        <f t="shared" si="11"/>
        <v>0</v>
      </c>
      <c r="W65" s="2"/>
      <c r="X65" s="2">
        <f t="shared" si="12"/>
        <v>-535704.61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"5300", " - ", "COG$ OFFSET")</f>
        <v xml:space="preserve">          5300 - COG$ OFFSET</v>
      </c>
      <c r="C66" s="11"/>
      <c r="D66" s="2">
        <v>77854</v>
      </c>
      <c r="E66" s="2"/>
      <c r="F66" s="19">
        <f t="shared" si="6"/>
        <v>0.54555814107163425</v>
      </c>
      <c r="G66" s="2"/>
      <c r="H66" s="2"/>
      <c r="I66" s="2"/>
      <c r="J66" s="19">
        <f t="shared" si="7"/>
        <v>0</v>
      </c>
      <c r="K66" s="2"/>
      <c r="L66" s="2">
        <f t="shared" si="8"/>
        <v>77854</v>
      </c>
      <c r="M66" s="2"/>
      <c r="N66" s="19">
        <f t="shared" si="9"/>
        <v>0</v>
      </c>
      <c r="O66" s="11"/>
      <c r="P66" s="2">
        <v>739940</v>
      </c>
      <c r="Q66" s="2"/>
      <c r="R66" s="19">
        <f t="shared" si="10"/>
        <v>0.58281580278812528</v>
      </c>
      <c r="S66" s="2"/>
      <c r="T66" s="2"/>
      <c r="U66" s="2"/>
      <c r="V66" s="19">
        <f t="shared" si="11"/>
        <v>0</v>
      </c>
      <c r="W66" s="2"/>
      <c r="X66" s="2">
        <f t="shared" si="12"/>
        <v>739940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6"/>
        <v>0</v>
      </c>
      <c r="G67" s="2"/>
      <c r="H67" s="2"/>
      <c r="I67" s="2"/>
      <c r="J67" s="19">
        <f t="shared" si="7"/>
        <v>0</v>
      </c>
      <c r="K67" s="2"/>
      <c r="L67" s="2">
        <f t="shared" si="8"/>
        <v>0</v>
      </c>
      <c r="M67" s="2"/>
      <c r="N67" s="19">
        <f t="shared" si="9"/>
        <v>0</v>
      </c>
      <c r="O67" s="11"/>
      <c r="P67" s="2">
        <v>48.14</v>
      </c>
      <c r="Q67" s="2"/>
      <c r="R67" s="19">
        <f t="shared" si="10"/>
        <v>3.7917605138552247E-5</v>
      </c>
      <c r="S67" s="2"/>
      <c r="T67" s="2"/>
      <c r="U67" s="2"/>
      <c r="V67" s="19">
        <f t="shared" si="11"/>
        <v>0</v>
      </c>
      <c r="W67" s="2"/>
      <c r="X67" s="2">
        <f t="shared" si="12"/>
        <v>48.14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"5526", " - ", "FREIGHT-IN-WRITING INSTRUMENTS")</f>
        <v xml:space="preserve">          5526 - FREIGHT-IN-WRITING INSTRUMENTS</v>
      </c>
      <c r="C68" s="11"/>
      <c r="D68" s="2"/>
      <c r="E68" s="2"/>
      <c r="F68" s="19">
        <f t="shared" si="6"/>
        <v>0</v>
      </c>
      <c r="G68" s="2"/>
      <c r="H68" s="2"/>
      <c r="I68" s="2"/>
      <c r="J68" s="19">
        <f t="shared" si="7"/>
        <v>0</v>
      </c>
      <c r="K68" s="2"/>
      <c r="L68" s="2">
        <f t="shared" si="8"/>
        <v>0</v>
      </c>
      <c r="M68" s="2"/>
      <c r="N68" s="19">
        <f t="shared" si="9"/>
        <v>0</v>
      </c>
      <c r="O68" s="11"/>
      <c r="P68" s="2">
        <v>0</v>
      </c>
      <c r="Q68" s="2"/>
      <c r="R68" s="19">
        <f t="shared" si="10"/>
        <v>0</v>
      </c>
      <c r="S68" s="2"/>
      <c r="T68" s="2"/>
      <c r="U68" s="2"/>
      <c r="V68" s="19">
        <f t="shared" si="11"/>
        <v>0</v>
      </c>
      <c r="W68" s="2"/>
      <c r="X68" s="2">
        <f t="shared" si="12"/>
        <v>0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"5527", " - ", "FREIGHT-IN-SCHOOL SUPPLIES")</f>
        <v xml:space="preserve">          5527 - FREIGHT-IN-SCHOOL SUPPLIES</v>
      </c>
      <c r="C69" s="11"/>
      <c r="D69" s="2">
        <v>41.12</v>
      </c>
      <c r="E69" s="2"/>
      <c r="F69" s="19">
        <f t="shared" si="6"/>
        <v>2.8814641201307061E-4</v>
      </c>
      <c r="G69" s="2"/>
      <c r="H69" s="2"/>
      <c r="I69" s="2"/>
      <c r="J69" s="19">
        <f t="shared" si="7"/>
        <v>0</v>
      </c>
      <c r="K69" s="2"/>
      <c r="L69" s="2">
        <f t="shared" si="8"/>
        <v>41.12</v>
      </c>
      <c r="M69" s="2"/>
      <c r="N69" s="19">
        <f t="shared" si="9"/>
        <v>0</v>
      </c>
      <c r="O69" s="11"/>
      <c r="P69" s="2">
        <v>218.62</v>
      </c>
      <c r="Q69" s="2"/>
      <c r="R69" s="19">
        <f t="shared" si="10"/>
        <v>1.7219665216847304E-4</v>
      </c>
      <c r="S69" s="2"/>
      <c r="T69" s="2"/>
      <c r="U69" s="2"/>
      <c r="V69" s="19">
        <f t="shared" si="11"/>
        <v>0</v>
      </c>
      <c r="W69" s="2"/>
      <c r="X69" s="2">
        <f t="shared" si="12"/>
        <v>218.62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"5528", " - ", "FREIGHT-IN-ART/TECH")</f>
        <v xml:space="preserve">          5528 - FREIGHT-IN-ART/TECH</v>
      </c>
      <c r="C70" s="11"/>
      <c r="D70" s="2">
        <v>73.23</v>
      </c>
      <c r="E70" s="2"/>
      <c r="F70" s="19">
        <f t="shared" si="6"/>
        <v>5.131556846234719E-4</v>
      </c>
      <c r="G70" s="2"/>
      <c r="H70" s="2"/>
      <c r="I70" s="2"/>
      <c r="J70" s="19">
        <f t="shared" si="7"/>
        <v>0</v>
      </c>
      <c r="K70" s="2"/>
      <c r="L70" s="2">
        <f t="shared" si="8"/>
        <v>73.23</v>
      </c>
      <c r="M70" s="2"/>
      <c r="N70" s="19">
        <f t="shared" si="9"/>
        <v>0</v>
      </c>
      <c r="O70" s="11"/>
      <c r="P70" s="2">
        <v>107.18</v>
      </c>
      <c r="Q70" s="2"/>
      <c r="R70" s="19">
        <f t="shared" si="10"/>
        <v>8.4420625649148938E-5</v>
      </c>
      <c r="S70" s="2"/>
      <c r="T70" s="2"/>
      <c r="U70" s="2"/>
      <c r="V70" s="19">
        <f t="shared" si="11"/>
        <v>0</v>
      </c>
      <c r="W70" s="2"/>
      <c r="X70" s="2">
        <f t="shared" si="12"/>
        <v>107.18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"5540", " - ", "FREIGHT-IN-LOGO CLOTHING")</f>
        <v xml:space="preserve">          5540 - FREIGHT-IN-LOGO CLOTHING</v>
      </c>
      <c r="C71" s="11"/>
      <c r="D71" s="2">
        <v>1167.1400000000001</v>
      </c>
      <c r="E71" s="2"/>
      <c r="F71" s="19">
        <f t="shared" si="6"/>
        <v>8.1786771234663245E-3</v>
      </c>
      <c r="G71" s="2"/>
      <c r="H71" s="2"/>
      <c r="I71" s="2"/>
      <c r="J71" s="19">
        <f t="shared" si="7"/>
        <v>0</v>
      </c>
      <c r="K71" s="2"/>
      <c r="L71" s="2">
        <f t="shared" si="8"/>
        <v>1167.1400000000001</v>
      </c>
      <c r="M71" s="2"/>
      <c r="N71" s="19">
        <f t="shared" si="9"/>
        <v>0</v>
      </c>
      <c r="O71" s="11"/>
      <c r="P71" s="2">
        <v>7108.37</v>
      </c>
      <c r="Q71" s="2"/>
      <c r="R71" s="19">
        <f t="shared" si="10"/>
        <v>5.5989274374476658E-3</v>
      </c>
      <c r="S71" s="2"/>
      <c r="T71" s="2"/>
      <c r="U71" s="2"/>
      <c r="V71" s="19">
        <f t="shared" si="11"/>
        <v>0</v>
      </c>
      <c r="W71" s="2"/>
      <c r="X71" s="2">
        <f t="shared" si="12"/>
        <v>7108.37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"5541", " - ", "FREIGHT-IN-LOGO GIFTS")</f>
        <v xml:space="preserve">          5541 - FREIGHT-IN-LOGO GIFTS</v>
      </c>
      <c r="C72" s="11"/>
      <c r="D72" s="2">
        <v>60.07</v>
      </c>
      <c r="E72" s="2"/>
      <c r="F72" s="19">
        <f t="shared" si="6"/>
        <v>4.2093762085664282E-4</v>
      </c>
      <c r="G72" s="2"/>
      <c r="H72" s="2"/>
      <c r="I72" s="2"/>
      <c r="J72" s="19">
        <f t="shared" si="7"/>
        <v>0</v>
      </c>
      <c r="K72" s="2"/>
      <c r="L72" s="2">
        <f t="shared" si="8"/>
        <v>60.07</v>
      </c>
      <c r="M72" s="2"/>
      <c r="N72" s="19">
        <f t="shared" si="9"/>
        <v>0</v>
      </c>
      <c r="O72" s="11"/>
      <c r="P72" s="2">
        <v>2138</v>
      </c>
      <c r="Q72" s="2"/>
      <c r="R72" s="19">
        <f t="shared" si="10"/>
        <v>1.6840016573789927E-3</v>
      </c>
      <c r="S72" s="2"/>
      <c r="T72" s="2"/>
      <c r="U72" s="2"/>
      <c r="V72" s="19">
        <f t="shared" si="11"/>
        <v>0</v>
      </c>
      <c r="W72" s="2"/>
      <c r="X72" s="2">
        <f t="shared" si="12"/>
        <v>2138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"5542", " - ", "FREIGHT-IN-EVERYDAY GIFTS")</f>
        <v xml:space="preserve">          5542 - FREIGHT-IN-EVERYDAY GIFTS</v>
      </c>
      <c r="C73" s="11"/>
      <c r="D73" s="2">
        <v>297.79000000000002</v>
      </c>
      <c r="E73" s="2"/>
      <c r="F73" s="19">
        <f t="shared" si="6"/>
        <v>2.0867490280489375E-3</v>
      </c>
      <c r="G73" s="2"/>
      <c r="H73" s="2"/>
      <c r="I73" s="2"/>
      <c r="J73" s="19">
        <f t="shared" si="7"/>
        <v>0</v>
      </c>
      <c r="K73" s="2"/>
      <c r="L73" s="2">
        <f t="shared" si="8"/>
        <v>297.79000000000002</v>
      </c>
      <c r="M73" s="2"/>
      <c r="N73" s="19">
        <f t="shared" si="9"/>
        <v>0</v>
      </c>
      <c r="O73" s="11"/>
      <c r="P73" s="2">
        <v>681.72</v>
      </c>
      <c r="Q73" s="2"/>
      <c r="R73" s="19">
        <f t="shared" si="10"/>
        <v>5.3695865756239801E-4</v>
      </c>
      <c r="S73" s="2"/>
      <c r="T73" s="2"/>
      <c r="U73" s="2"/>
      <c r="V73" s="19">
        <f t="shared" si="11"/>
        <v>0</v>
      </c>
      <c r="W73" s="2"/>
      <c r="X73" s="2">
        <f t="shared" si="12"/>
        <v>681.72</v>
      </c>
      <c r="Y73" s="2"/>
      <c r="Z73" s="19">
        <f t="shared" si="13"/>
        <v>0</v>
      </c>
    </row>
    <row r="74" spans="1:26" s="24" customFormat="1" hidden="1" outlineLevel="1" x14ac:dyDescent="0.25">
      <c r="A74" s="44"/>
      <c r="B74" s="11" t="str">
        <f>CONCATENATE("          ", "5543", " - ", "FREIGHT-IN-CARDS")</f>
        <v xml:space="preserve">          5543 - FREIGHT-IN-CARDS</v>
      </c>
      <c r="C74" s="11"/>
      <c r="D74" s="2"/>
      <c r="E74" s="2"/>
      <c r="F74" s="19">
        <f t="shared" si="6"/>
        <v>0</v>
      </c>
      <c r="G74" s="2"/>
      <c r="H74" s="2"/>
      <c r="I74" s="2"/>
      <c r="J74" s="19">
        <f t="shared" si="7"/>
        <v>0</v>
      </c>
      <c r="K74" s="2"/>
      <c r="L74" s="2">
        <f t="shared" si="8"/>
        <v>0</v>
      </c>
      <c r="M74" s="2"/>
      <c r="N74" s="19">
        <f t="shared" si="9"/>
        <v>0</v>
      </c>
      <c r="O74" s="11"/>
      <c r="P74" s="2">
        <v>9110.5300000000007</v>
      </c>
      <c r="Q74" s="2"/>
      <c r="R74" s="19">
        <f t="shared" si="10"/>
        <v>7.1759343403185382E-3</v>
      </c>
      <c r="S74" s="2"/>
      <c r="T74" s="2"/>
      <c r="U74" s="2"/>
      <c r="V74" s="19">
        <f t="shared" si="11"/>
        <v>0</v>
      </c>
      <c r="W74" s="2"/>
      <c r="X74" s="2">
        <f t="shared" si="12"/>
        <v>9110.5300000000007</v>
      </c>
      <c r="Y74" s="2"/>
      <c r="Z74" s="19">
        <f t="shared" si="13"/>
        <v>0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17.63</v>
      </c>
      <c r="E75" s="2"/>
      <c r="F75" s="19">
        <f t="shared" si="6"/>
        <v>1.2354137266027321E-4</v>
      </c>
      <c r="G75" s="2"/>
      <c r="H75" s="2"/>
      <c r="I75" s="2"/>
      <c r="J75" s="19">
        <f t="shared" si="7"/>
        <v>0</v>
      </c>
      <c r="K75" s="2"/>
      <c r="L75" s="2">
        <f t="shared" si="8"/>
        <v>17.63</v>
      </c>
      <c r="M75" s="2"/>
      <c r="N75" s="19">
        <f t="shared" si="9"/>
        <v>0</v>
      </c>
      <c r="O75" s="11"/>
      <c r="P75" s="2">
        <v>1266.1600000000001</v>
      </c>
      <c r="Q75" s="2"/>
      <c r="R75" s="19">
        <f t="shared" si="10"/>
        <v>9.9729445206126551E-4</v>
      </c>
      <c r="S75" s="2"/>
      <c r="T75" s="2"/>
      <c r="U75" s="2"/>
      <c r="V75" s="19">
        <f t="shared" si="11"/>
        <v>0</v>
      </c>
      <c r="W75" s="2"/>
      <c r="X75" s="2">
        <f t="shared" si="12"/>
        <v>1266.1600000000001</v>
      </c>
      <c r="Y75" s="2"/>
      <c r="Z75" s="19">
        <f t="shared" si="13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108</v>
      </c>
      <c r="C77" s="29"/>
      <c r="D77" s="20">
        <f>D12-D52</f>
        <v>64851.229999999981</v>
      </c>
      <c r="E77" s="14"/>
      <c r="F77" s="21">
        <f>IF(D$12=0,0,D77/D$12)</f>
        <v>0.45444185892836575</v>
      </c>
      <c r="G77" s="14"/>
      <c r="H77" s="20">
        <f>H12-H52</f>
        <v>161244</v>
      </c>
      <c r="I77" s="14"/>
      <c r="J77" s="21">
        <f>IF(H$12=0,0,H77/H$12)</f>
        <v>0.53750150006000241</v>
      </c>
      <c r="K77" s="16"/>
      <c r="L77" s="20">
        <f>+D77-H77</f>
        <v>-96392.770000000019</v>
      </c>
      <c r="M77" s="16"/>
      <c r="N77" s="21">
        <f>IF(H77=0,0,L77/H77)</f>
        <v>-0.59780686413137862</v>
      </c>
      <c r="O77" s="28"/>
      <c r="P77" s="20">
        <f>P12-P52</f>
        <v>528738.41000000027</v>
      </c>
      <c r="Q77" s="14"/>
      <c r="R77" s="21">
        <f>IF(P$12=0,0,P77/P$12)</f>
        <v>0.41646228192700363</v>
      </c>
      <c r="S77" s="14"/>
      <c r="T77" s="20">
        <f>T12-T52</f>
        <v>1337820</v>
      </c>
      <c r="U77" s="14"/>
      <c r="V77" s="21">
        <f>IF(T$12=0,0,T77/T$12)</f>
        <v>0.53750009542111243</v>
      </c>
      <c r="W77" s="16"/>
      <c r="X77" s="20">
        <f>+P77-T77</f>
        <v>-809081.58999999973</v>
      </c>
      <c r="Y77" s="16"/>
      <c r="Z77" s="21">
        <f>IF(T77=0,0,X77/T77)</f>
        <v>-0.60477612085332833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295</v>
      </c>
      <c r="C79" s="10"/>
      <c r="D79" s="22">
        <f>SUM(OSRRefD22x_0)</f>
        <v>43298.26999999999</v>
      </c>
      <c r="E79" s="22"/>
      <c r="F79" s="32">
        <f t="shared" ref="F79:F89" si="14">IF(D$12=0,0,D79/D$12)</f>
        <v>0.30341053372746041</v>
      </c>
      <c r="G79" s="22"/>
      <c r="H79" s="22">
        <f>SUM(OSRRefH22x_0)</f>
        <v>102503.48577807689</v>
      </c>
      <c r="I79" s="22"/>
      <c r="J79" s="32">
        <f t="shared" ref="J79:J89" si="15">IF(H$12=0,0,H79/H$12)</f>
        <v>0.34169195360506721</v>
      </c>
      <c r="K79" s="4"/>
      <c r="L79" s="22">
        <f t="shared" ref="L79:L89" si="16">+D79-H79</f>
        <v>-59205.215778076905</v>
      </c>
      <c r="M79" s="4"/>
      <c r="N79" s="32">
        <f t="shared" ref="N79:N89" si="17">IF(H79=0,0,L79/H79)</f>
        <v>-0.57759221872959488</v>
      </c>
      <c r="O79" s="10"/>
      <c r="P79" s="22">
        <f>SUM(OSRRefP22x_0)</f>
        <v>415367.95</v>
      </c>
      <c r="Q79" s="22"/>
      <c r="R79" s="32">
        <f t="shared" ref="R79:R89" si="18">IF(P$12=0,0,P79/P$12)</f>
        <v>0.32716572320959519</v>
      </c>
      <c r="S79" s="22"/>
      <c r="T79" s="22">
        <f>SUM(OSRRefT22x_0)</f>
        <v>909422.13989749993</v>
      </c>
      <c r="U79" s="22"/>
      <c r="V79" s="32">
        <f t="shared" ref="V79:V89" si="19">IF(T$12=0,0,T79/T$12)</f>
        <v>0.36538135696355151</v>
      </c>
      <c r="W79" s="4"/>
      <c r="X79" s="22">
        <f t="shared" ref="X79:X89" si="20">+P79-T79</f>
        <v>-494054.18989749992</v>
      </c>
      <c r="Y79" s="4"/>
      <c r="Z79" s="32">
        <f t="shared" ref="Z79:Z89" si="21">IF(T79=0,0,X79/T79)</f>
        <v>-0.54326166938621512</v>
      </c>
    </row>
    <row r="80" spans="1:26" s="25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9722.48</v>
      </c>
      <c r="E80" s="1"/>
      <c r="F80" s="5">
        <f t="shared" si="14"/>
        <v>6.8129808557121557E-2</v>
      </c>
      <c r="G80" s="1"/>
      <c r="H80" s="1">
        <f>SUM(OSRRefH22_0x_0)</f>
        <v>11845.841162692303</v>
      </c>
      <c r="I80" s="1"/>
      <c r="J80" s="5">
        <f t="shared" si="15"/>
        <v>3.9487716717643048E-2</v>
      </c>
      <c r="K80" s="1"/>
      <c r="L80" s="1">
        <f t="shared" si="16"/>
        <v>-2123.361162692303</v>
      </c>
      <c r="M80" s="1"/>
      <c r="N80" s="5">
        <f t="shared" si="17"/>
        <v>-0.17924950482872329</v>
      </c>
      <c r="O80" s="13"/>
      <c r="P80" s="1">
        <f>SUM(OSRRefP22_0x_0)</f>
        <v>90696.02</v>
      </c>
      <c r="Q80" s="1"/>
      <c r="R80" s="5">
        <f t="shared" si="18"/>
        <v>7.1436972870756912E-2</v>
      </c>
      <c r="S80" s="1"/>
      <c r="T80" s="1">
        <f>SUM(OSRRefT22_0x_0)</f>
        <v>114736.18239749999</v>
      </c>
      <c r="U80" s="1"/>
      <c r="V80" s="5">
        <f t="shared" si="19"/>
        <v>4.6097912265409699E-2</v>
      </c>
      <c r="W80" s="1"/>
      <c r="X80" s="1">
        <f t="shared" si="20"/>
        <v>-24040.162397499982</v>
      </c>
      <c r="Y80" s="1"/>
      <c r="Z80" s="5">
        <f t="shared" si="21"/>
        <v>-0.20952555588971555</v>
      </c>
    </row>
    <row r="81" spans="1:26" s="24" customFormat="1" hidden="1" outlineLevel="2" x14ac:dyDescent="0.25">
      <c r="A81" s="26"/>
      <c r="B81" s="11" t="str">
        <f>CONCATENATE("          ", "6111", " - ", "F.I.C.A.")</f>
        <v xml:space="preserve">          6111 - F.I.C.A.</v>
      </c>
      <c r="C81" s="11"/>
      <c r="D81" s="7">
        <v>2052.3000000000002</v>
      </c>
      <c r="E81" s="2"/>
      <c r="F81" s="6">
        <f t="shared" si="14"/>
        <v>1.4381393029533679E-2</v>
      </c>
      <c r="G81" s="2"/>
      <c r="H81" s="7">
        <v>1499.90676046154</v>
      </c>
      <c r="I81" s="2"/>
      <c r="J81" s="6">
        <f t="shared" si="15"/>
        <v>4.9998891971063508E-3</v>
      </c>
      <c r="K81" s="2"/>
      <c r="L81" s="7">
        <f t="shared" si="16"/>
        <v>552.39323953846019</v>
      </c>
      <c r="M81" s="2"/>
      <c r="N81" s="6">
        <f t="shared" si="17"/>
        <v>0.36828505217783131</v>
      </c>
      <c r="O81" s="11"/>
      <c r="P81" s="7">
        <v>20225.04</v>
      </c>
      <c r="Q81" s="2"/>
      <c r="R81" s="6">
        <f t="shared" si="18"/>
        <v>1.5930309111579243E-2</v>
      </c>
      <c r="S81" s="2"/>
      <c r="T81" s="7">
        <v>19635.152866500001</v>
      </c>
      <c r="U81" s="2"/>
      <c r="V81" s="6">
        <f t="shared" si="19"/>
        <v>7.8888763356444666E-3</v>
      </c>
      <c r="W81" s="2"/>
      <c r="X81" s="7">
        <f t="shared" si="20"/>
        <v>589.88713350000035</v>
      </c>
      <c r="Y81" s="2"/>
      <c r="Z81" s="6">
        <f t="shared" si="21"/>
        <v>3.0042400866988957E-2</v>
      </c>
    </row>
    <row r="82" spans="1:26" s="24" customFormat="1" hidden="1" outlineLevel="2" x14ac:dyDescent="0.25">
      <c r="A82" s="26"/>
      <c r="B82" s="11" t="str">
        <f>CONCATENATE("          ", "6112", " - ", "COMPENSATION INSURANCE")</f>
        <v xml:space="preserve">          6112 - COMPENSATION INSURANCE</v>
      </c>
      <c r="C82" s="11"/>
      <c r="D82" s="7">
        <v>586.92999999999995</v>
      </c>
      <c r="E82" s="2"/>
      <c r="F82" s="6">
        <f t="shared" si="14"/>
        <v>4.1128835992906496E-3</v>
      </c>
      <c r="G82" s="2"/>
      <c r="H82" s="7">
        <v>1097.61551653846</v>
      </c>
      <c r="I82" s="2"/>
      <c r="J82" s="6">
        <f t="shared" si="15"/>
        <v>3.6588647430512555E-3</v>
      </c>
      <c r="K82" s="2"/>
      <c r="L82" s="7">
        <f t="shared" si="16"/>
        <v>-510.68551653846009</v>
      </c>
      <c r="M82" s="2"/>
      <c r="N82" s="6">
        <f t="shared" si="17"/>
        <v>-0.46526812790420846</v>
      </c>
      <c r="O82" s="11"/>
      <c r="P82" s="7">
        <v>7157.02</v>
      </c>
      <c r="Q82" s="2"/>
      <c r="R82" s="6">
        <f t="shared" si="18"/>
        <v>5.6372467455072959E-3</v>
      </c>
      <c r="S82" s="2"/>
      <c r="T82" s="7">
        <v>9799.342885</v>
      </c>
      <c r="U82" s="2"/>
      <c r="V82" s="6">
        <f t="shared" si="19"/>
        <v>3.9371124185254361E-3</v>
      </c>
      <c r="W82" s="2"/>
      <c r="X82" s="7">
        <f t="shared" si="20"/>
        <v>-2642.3228849999996</v>
      </c>
      <c r="Y82" s="2"/>
      <c r="Z82" s="6">
        <f t="shared" si="21"/>
        <v>-0.26964286442559759</v>
      </c>
    </row>
    <row r="83" spans="1:26" s="24" customFormat="1" hidden="1" outlineLevel="2" x14ac:dyDescent="0.25">
      <c r="A83" s="26"/>
      <c r="B83" s="11" t="str">
        <f>CONCATENATE("          ", "6113", " - ", "GROUP INSURANCE")</f>
        <v xml:space="preserve">          6113 - GROUP INSURANCE</v>
      </c>
      <c r="C83" s="11"/>
      <c r="D83" s="7">
        <v>2823.95</v>
      </c>
      <c r="E83" s="2"/>
      <c r="F83" s="6">
        <f t="shared" si="14"/>
        <v>1.9788693098353859E-2</v>
      </c>
      <c r="G83" s="2"/>
      <c r="H83" s="7">
        <v>4968.8461538461497</v>
      </c>
      <c r="I83" s="2"/>
      <c r="J83" s="6">
        <f t="shared" si="15"/>
        <v>1.6563483052142586E-2</v>
      </c>
      <c r="K83" s="2"/>
      <c r="L83" s="7">
        <f t="shared" si="16"/>
        <v>-2144.8961538461499</v>
      </c>
      <c r="M83" s="2"/>
      <c r="N83" s="6">
        <f t="shared" si="17"/>
        <v>-0.43166885981887099</v>
      </c>
      <c r="O83" s="11"/>
      <c r="P83" s="7">
        <v>26300.9</v>
      </c>
      <c r="Q83" s="2"/>
      <c r="R83" s="6">
        <f t="shared" si="18"/>
        <v>2.0715977170514103E-2</v>
      </c>
      <c r="S83" s="2"/>
      <c r="T83" s="7">
        <v>45180</v>
      </c>
      <c r="U83" s="2"/>
      <c r="V83" s="6">
        <f t="shared" si="19"/>
        <v>1.8152108886939845E-2</v>
      </c>
      <c r="W83" s="2"/>
      <c r="X83" s="7">
        <f t="shared" si="20"/>
        <v>-18879.099999999999</v>
      </c>
      <c r="Y83" s="2"/>
      <c r="Z83" s="6">
        <f t="shared" si="21"/>
        <v>-0.41786409915891987</v>
      </c>
    </row>
    <row r="84" spans="1:26" s="24" customFormat="1" hidden="1" outlineLevel="2" x14ac:dyDescent="0.25">
      <c r="A84" s="26"/>
      <c r="B84" s="11" t="str">
        <f>CONCATENATE("          ", "6114", " - ", "STATE UNEMPLOYMENT INSURANCE")</f>
        <v xml:space="preserve">          6114 - STATE UNEMPLOYMENT INSURANCE</v>
      </c>
      <c r="C84" s="11"/>
      <c r="D84" s="7">
        <v>82.49</v>
      </c>
      <c r="E84" s="2"/>
      <c r="F84" s="6">
        <f t="shared" si="14"/>
        <v>5.7804468693964481E-4</v>
      </c>
      <c r="G84" s="2"/>
      <c r="H84" s="7">
        <v>154.259478</v>
      </c>
      <c r="I84" s="2"/>
      <c r="J84" s="6">
        <f t="shared" si="15"/>
        <v>5.1421882875315008E-4</v>
      </c>
      <c r="K84" s="2"/>
      <c r="L84" s="7">
        <f t="shared" si="16"/>
        <v>-71.769478000000007</v>
      </c>
      <c r="M84" s="2"/>
      <c r="N84" s="6">
        <f t="shared" si="17"/>
        <v>-0.46525165863714385</v>
      </c>
      <c r="O84" s="11"/>
      <c r="P84" s="7">
        <v>832.08</v>
      </c>
      <c r="Q84" s="2"/>
      <c r="R84" s="6">
        <f t="shared" si="18"/>
        <v>6.5539013052942575E-4</v>
      </c>
      <c r="S84" s="2"/>
      <c r="T84" s="7">
        <v>1377.2049460000001</v>
      </c>
      <c r="U84" s="2"/>
      <c r="V84" s="6">
        <f t="shared" si="19"/>
        <v>5.5332390746843979E-4</v>
      </c>
      <c r="W84" s="2"/>
      <c r="X84" s="7">
        <f t="shared" si="20"/>
        <v>-545.12494600000002</v>
      </c>
      <c r="Y84" s="2"/>
      <c r="Z84" s="6">
        <f t="shared" si="21"/>
        <v>-0.39581977074892088</v>
      </c>
    </row>
    <row r="85" spans="1:26" s="24" customFormat="1" hidden="1" outlineLevel="2" x14ac:dyDescent="0.25">
      <c r="A85" s="26"/>
      <c r="B85" s="11" t="str">
        <f>CONCATENATE("          ", "6115", " - ", "P.E.R.S.")</f>
        <v xml:space="preserve">          6115 - P.E.R.S.</v>
      </c>
      <c r="C85" s="11"/>
      <c r="D85" s="7">
        <v>1554.7</v>
      </c>
      <c r="E85" s="2"/>
      <c r="F85" s="6">
        <f t="shared" si="14"/>
        <v>1.089448508649613E-2</v>
      </c>
      <c r="G85" s="2"/>
      <c r="H85" s="7">
        <v>1169.9731076923099</v>
      </c>
      <c r="I85" s="2"/>
      <c r="J85" s="6">
        <f t="shared" si="15"/>
        <v>3.9000663616288313E-3</v>
      </c>
      <c r="K85" s="2"/>
      <c r="L85" s="7">
        <f t="shared" si="16"/>
        <v>384.72689230769015</v>
      </c>
      <c r="M85" s="2"/>
      <c r="N85" s="6">
        <f t="shared" si="17"/>
        <v>0.32883396189040365</v>
      </c>
      <c r="O85" s="11"/>
      <c r="P85" s="7">
        <v>14670.4</v>
      </c>
      <c r="Q85" s="2"/>
      <c r="R85" s="6">
        <f t="shared" si="18"/>
        <v>1.1555181437985394E-2</v>
      </c>
      <c r="S85" s="2"/>
      <c r="T85" s="7">
        <v>11221.202600000001</v>
      </c>
      <c r="U85" s="2"/>
      <c r="V85" s="6">
        <f t="shared" si="19"/>
        <v>4.5083774111910682E-3</v>
      </c>
      <c r="W85" s="2"/>
      <c r="X85" s="7">
        <f t="shared" si="20"/>
        <v>3449.1973999999991</v>
      </c>
      <c r="Y85" s="2"/>
      <c r="Z85" s="6">
        <f t="shared" si="21"/>
        <v>0.30738215171340005</v>
      </c>
    </row>
    <row r="86" spans="1:26" s="24" customFormat="1" hidden="1" outlineLevel="2" x14ac:dyDescent="0.25">
      <c r="A86" s="26"/>
      <c r="B86" s="11" t="str">
        <f>CONCATENATE("          ", "6116", " - ", "EDUCATIONAL BENEFITS")</f>
        <v xml:space="preserve">          6116 - EDUCATIONAL BENEFITS</v>
      </c>
      <c r="C86" s="11"/>
      <c r="D86" s="7"/>
      <c r="E86" s="2"/>
      <c r="F86" s="6">
        <f t="shared" si="14"/>
        <v>0</v>
      </c>
      <c r="G86" s="2"/>
      <c r="H86" s="7">
        <v>0</v>
      </c>
      <c r="I86" s="2"/>
      <c r="J86" s="6">
        <f t="shared" si="15"/>
        <v>0</v>
      </c>
      <c r="K86" s="2"/>
      <c r="L86" s="7">
        <f t="shared" si="16"/>
        <v>0</v>
      </c>
      <c r="M86" s="2"/>
      <c r="N86" s="6">
        <f t="shared" si="17"/>
        <v>0</v>
      </c>
      <c r="O86" s="11"/>
      <c r="P86" s="7"/>
      <c r="Q86" s="2"/>
      <c r="R86" s="6">
        <f t="shared" si="18"/>
        <v>0</v>
      </c>
      <c r="S86" s="2"/>
      <c r="T86" s="7">
        <v>0</v>
      </c>
      <c r="U86" s="2"/>
      <c r="V86" s="6">
        <f t="shared" si="19"/>
        <v>0</v>
      </c>
      <c r="W86" s="2"/>
      <c r="X86" s="7">
        <f t="shared" si="20"/>
        <v>0</v>
      </c>
      <c r="Y86" s="2"/>
      <c r="Z86" s="6">
        <f t="shared" si="21"/>
        <v>0</v>
      </c>
    </row>
    <row r="87" spans="1:26" s="24" customFormat="1" hidden="1" outlineLevel="2" x14ac:dyDescent="0.25">
      <c r="A87" s="26"/>
      <c r="B87" s="11" t="str">
        <f>CONCATENATE("          ", "6118", " - ", "VACATION")</f>
        <v xml:space="preserve">          6118 - VACATION</v>
      </c>
      <c r="C87" s="11"/>
      <c r="D87" s="7">
        <v>1290.6199999999999</v>
      </c>
      <c r="E87" s="2"/>
      <c r="F87" s="6">
        <f t="shared" si="14"/>
        <v>9.0439572537040162E-3</v>
      </c>
      <c r="G87" s="2"/>
      <c r="H87" s="7">
        <v>877.97692307692296</v>
      </c>
      <c r="I87" s="2"/>
      <c r="J87" s="6">
        <f t="shared" si="15"/>
        <v>2.9267068118622175E-3</v>
      </c>
      <c r="K87" s="2"/>
      <c r="L87" s="7">
        <f t="shared" si="16"/>
        <v>412.64307692307693</v>
      </c>
      <c r="M87" s="2"/>
      <c r="N87" s="6">
        <f t="shared" si="17"/>
        <v>0.46999307849338962</v>
      </c>
      <c r="O87" s="11"/>
      <c r="P87" s="7">
        <v>10992.97</v>
      </c>
      <c r="Q87" s="2"/>
      <c r="R87" s="6">
        <f t="shared" si="18"/>
        <v>8.6586434515984762E-3</v>
      </c>
      <c r="S87" s="2"/>
      <c r="T87" s="7">
        <v>8414.6749999999902</v>
      </c>
      <c r="U87" s="2"/>
      <c r="V87" s="6">
        <f t="shared" si="19"/>
        <v>3.3807901028820352E-3</v>
      </c>
      <c r="W87" s="2"/>
      <c r="X87" s="7">
        <f t="shared" si="20"/>
        <v>2578.2950000000092</v>
      </c>
      <c r="Y87" s="2"/>
      <c r="Z87" s="6">
        <f t="shared" si="21"/>
        <v>0.30640458484730687</v>
      </c>
    </row>
    <row r="88" spans="1:26" s="24" customFormat="1" hidden="1" outlineLevel="2" x14ac:dyDescent="0.25">
      <c r="A88" s="26"/>
      <c r="B88" s="11" t="str">
        <f>CONCATENATE("          ", "6119", " - ", "SICK LEAVE")</f>
        <v xml:space="preserve">          6119 - SICK LEAVE</v>
      </c>
      <c r="C88" s="11"/>
      <c r="D88" s="7">
        <v>889.54</v>
      </c>
      <c r="E88" s="2"/>
      <c r="F88" s="6">
        <f t="shared" si="14"/>
        <v>6.2334085443119368E-3</v>
      </c>
      <c r="G88" s="2"/>
      <c r="H88" s="7">
        <v>1377.26322307692</v>
      </c>
      <c r="I88" s="2"/>
      <c r="J88" s="6">
        <f t="shared" si="15"/>
        <v>4.5910610526985075E-3</v>
      </c>
      <c r="K88" s="2"/>
      <c r="L88" s="7">
        <f t="shared" si="16"/>
        <v>-487.72322307692002</v>
      </c>
      <c r="M88" s="2"/>
      <c r="N88" s="6">
        <f t="shared" si="17"/>
        <v>-0.35412491592370121</v>
      </c>
      <c r="O88" s="11"/>
      <c r="P88" s="7">
        <v>7792.89</v>
      </c>
      <c r="Q88" s="2"/>
      <c r="R88" s="6">
        <f t="shared" si="18"/>
        <v>6.1380915228120576E-3</v>
      </c>
      <c r="S88" s="2"/>
      <c r="T88" s="7">
        <v>12808.6041</v>
      </c>
      <c r="U88" s="2"/>
      <c r="V88" s="6">
        <f t="shared" si="19"/>
        <v>5.1461526408345315E-3</v>
      </c>
      <c r="W88" s="2"/>
      <c r="X88" s="7">
        <f t="shared" si="20"/>
        <v>-5015.7141000000001</v>
      </c>
      <c r="Y88" s="2"/>
      <c r="Z88" s="6">
        <f t="shared" si="21"/>
        <v>-0.39158943947685915</v>
      </c>
    </row>
    <row r="89" spans="1:26" s="24" customFormat="1" hidden="1" outlineLevel="2" x14ac:dyDescent="0.25">
      <c r="A89" s="26"/>
      <c r="B89" s="11" t="str">
        <f>CONCATENATE("          ", "6156", " - ", "EMPLOYEE MEALS")</f>
        <v xml:space="preserve">          6156 - EMPLOYEE MEALS</v>
      </c>
      <c r="C89" s="11"/>
      <c r="D89" s="7">
        <v>441.95</v>
      </c>
      <c r="E89" s="2"/>
      <c r="F89" s="6">
        <f t="shared" si="14"/>
        <v>3.0969432584916478E-3</v>
      </c>
      <c r="G89" s="2"/>
      <c r="H89" s="7">
        <v>700</v>
      </c>
      <c r="I89" s="2"/>
      <c r="J89" s="6">
        <f t="shared" si="15"/>
        <v>2.3334266704001494E-3</v>
      </c>
      <c r="K89" s="2"/>
      <c r="L89" s="7">
        <f t="shared" si="16"/>
        <v>-258.05</v>
      </c>
      <c r="M89" s="2"/>
      <c r="N89" s="6">
        <f t="shared" si="17"/>
        <v>-0.36864285714285716</v>
      </c>
      <c r="O89" s="11"/>
      <c r="P89" s="7">
        <v>2724.72</v>
      </c>
      <c r="Q89" s="2"/>
      <c r="R89" s="6">
        <f t="shared" si="18"/>
        <v>2.1461333002309115E-3</v>
      </c>
      <c r="S89" s="2"/>
      <c r="T89" s="7">
        <v>6300</v>
      </c>
      <c r="U89" s="2"/>
      <c r="V89" s="6">
        <f t="shared" si="19"/>
        <v>2.5311705619238825E-3</v>
      </c>
      <c r="W89" s="2"/>
      <c r="X89" s="7">
        <f t="shared" si="20"/>
        <v>-3575.28</v>
      </c>
      <c r="Y89" s="2"/>
      <c r="Z89" s="6">
        <f t="shared" si="21"/>
        <v>-0.56750476190476196</v>
      </c>
    </row>
    <row r="90" spans="1:26" s="25" customFormat="1" outlineLevel="1" collapsed="1" x14ac:dyDescent="0.25">
      <c r="A90" s="27"/>
      <c r="B90" s="13" t="str">
        <f>CONCATENATE("     ","*Payroll                                          ")</f>
        <v xml:space="preserve">     *Payroll                                          </v>
      </c>
      <c r="C90" s="13"/>
      <c r="D90" s="1">
        <f>SUM(OSRRefD22_1x_0)</f>
        <v>32673.71</v>
      </c>
      <c r="E90" s="1"/>
      <c r="F90" s="5">
        <f t="shared" ref="F90:F100" si="22">IF(D$12=0,0,D90/D$12)</f>
        <v>0.22895944318228564</v>
      </c>
      <c r="G90" s="1"/>
      <c r="H90" s="1">
        <f>SUM(OSRRefH22_1x_0)</f>
        <v>57472.644615384597</v>
      </c>
      <c r="I90" s="1"/>
      <c r="J90" s="5">
        <f t="shared" ref="J90:J100" si="23">IF(H$12=0,0,H90/H$12)</f>
        <v>0.19158314537709709</v>
      </c>
      <c r="K90" s="1"/>
      <c r="L90" s="1">
        <f t="shared" ref="L90:L100" si="24">+D90-H90</f>
        <v>-24798.934615384598</v>
      </c>
      <c r="M90" s="1"/>
      <c r="N90" s="5">
        <f t="shared" ref="N90:N100" si="25">IF(H90=0,0,L90/H90)</f>
        <v>-0.43149109948468045</v>
      </c>
      <c r="O90" s="13"/>
      <c r="P90" s="1">
        <f>SUM(OSRRefP22_1x_0)</f>
        <v>270534.27</v>
      </c>
      <c r="Q90" s="1"/>
      <c r="R90" s="5">
        <f t="shared" ref="R90:R100" si="26">IF(P$12=0,0,P90/P$12)</f>
        <v>0.21308707158924972</v>
      </c>
      <c r="S90" s="1"/>
      <c r="T90" s="1">
        <f>SUM(OSRRefT22_1x_0)</f>
        <v>511889.95749999996</v>
      </c>
      <c r="U90" s="1"/>
      <c r="V90" s="5">
        <f t="shared" ref="V90:V100" si="27">IF(T$12=0,0,T90/T$12)</f>
        <v>0.20566361767753447</v>
      </c>
      <c r="W90" s="1"/>
      <c r="X90" s="1">
        <f t="shared" ref="X90:X100" si="28">+P90-T90</f>
        <v>-241355.68749999994</v>
      </c>
      <c r="Y90" s="1"/>
      <c r="Z90" s="5">
        <f t="shared" ref="Z90:Z100" si="29">IF(T90=0,0,X90/T90)</f>
        <v>-0.47149916493526828</v>
      </c>
    </row>
    <row r="91" spans="1:26" s="24" customFormat="1" hidden="1" outlineLevel="2" x14ac:dyDescent="0.25">
      <c r="A91" s="26"/>
      <c r="B91" s="11" t="str">
        <f>CONCATENATE("          ", "6001", " - ", "ADMINISTRATIVE SALARIES")</f>
        <v xml:space="preserve">          6001 - ADMINISTRATIVE SALARIES</v>
      </c>
      <c r="C91" s="11"/>
      <c r="D91" s="7"/>
      <c r="E91" s="2"/>
      <c r="F91" s="6">
        <f t="shared" si="22"/>
        <v>0</v>
      </c>
      <c r="G91" s="2"/>
      <c r="H91" s="7">
        <v>0</v>
      </c>
      <c r="I91" s="2"/>
      <c r="J91" s="6">
        <f t="shared" si="23"/>
        <v>0</v>
      </c>
      <c r="K91" s="2"/>
      <c r="L91" s="7">
        <f t="shared" si="24"/>
        <v>0</v>
      </c>
      <c r="M91" s="2"/>
      <c r="N91" s="6">
        <f t="shared" si="25"/>
        <v>0</v>
      </c>
      <c r="O91" s="11"/>
      <c r="P91" s="7"/>
      <c r="Q91" s="2"/>
      <c r="R91" s="6">
        <f t="shared" si="26"/>
        <v>0</v>
      </c>
      <c r="S91" s="2"/>
      <c r="T91" s="7">
        <v>0</v>
      </c>
      <c r="U91" s="2"/>
      <c r="V91" s="6">
        <f t="shared" si="27"/>
        <v>0</v>
      </c>
      <c r="W91" s="2"/>
      <c r="X91" s="7">
        <f t="shared" si="28"/>
        <v>0</v>
      </c>
      <c r="Y91" s="2"/>
      <c r="Z91" s="6">
        <f t="shared" si="29"/>
        <v>0</v>
      </c>
    </row>
    <row r="92" spans="1:26" s="24" customFormat="1" hidden="1" outlineLevel="2" x14ac:dyDescent="0.25">
      <c r="A92" s="26"/>
      <c r="B92" s="11" t="str">
        <f>CONCATENATE("          ", "6002", " - ", "STAFF SALARIES")</f>
        <v xml:space="preserve">          6002 - STAFF SALARIES</v>
      </c>
      <c r="C92" s="11"/>
      <c r="D92" s="7">
        <v>14454.33</v>
      </c>
      <c r="E92" s="2"/>
      <c r="F92" s="6">
        <f t="shared" si="22"/>
        <v>0.10128801866616943</v>
      </c>
      <c r="G92" s="2"/>
      <c r="H92" s="7">
        <v>12243.904615384599</v>
      </c>
      <c r="I92" s="2"/>
      <c r="J92" s="6">
        <f t="shared" si="23"/>
        <v>4.0814647970534156E-2</v>
      </c>
      <c r="K92" s="2"/>
      <c r="L92" s="7">
        <f t="shared" si="24"/>
        <v>2210.4253846154006</v>
      </c>
      <c r="M92" s="2"/>
      <c r="N92" s="6">
        <f t="shared" si="25"/>
        <v>0.18053271844653029</v>
      </c>
      <c r="O92" s="11"/>
      <c r="P92" s="7">
        <v>122169.13</v>
      </c>
      <c r="Q92" s="2"/>
      <c r="R92" s="6">
        <f t="shared" si="26"/>
        <v>9.622685565975192E-2</v>
      </c>
      <c r="S92" s="2"/>
      <c r="T92" s="7">
        <v>117431.19</v>
      </c>
      <c r="U92" s="2"/>
      <c r="V92" s="6">
        <f t="shared" si="27"/>
        <v>4.7180693838046066E-2</v>
      </c>
      <c r="W92" s="2"/>
      <c r="X92" s="7">
        <f t="shared" si="28"/>
        <v>4737.9400000000023</v>
      </c>
      <c r="Y92" s="2"/>
      <c r="Z92" s="6">
        <f t="shared" si="29"/>
        <v>4.0346521226600887E-2</v>
      </c>
    </row>
    <row r="93" spans="1:26" s="24" customFormat="1" hidden="1" outlineLevel="2" x14ac:dyDescent="0.25">
      <c r="A93" s="26"/>
      <c r="B93" s="11" t="str">
        <f>CONCATENATE("          ", "6003", " - ", "STAFF HOURLY-9 MONTH")</f>
        <v xml:space="preserve">          6003 - STAFF HOURLY-9 MONTH</v>
      </c>
      <c r="C93" s="11"/>
      <c r="D93" s="7"/>
      <c r="E93" s="2"/>
      <c r="F93" s="6">
        <f t="shared" si="22"/>
        <v>0</v>
      </c>
      <c r="G93" s="2"/>
      <c r="H93" s="7">
        <v>0</v>
      </c>
      <c r="I93" s="2"/>
      <c r="J93" s="6">
        <f t="shared" si="23"/>
        <v>0</v>
      </c>
      <c r="K93" s="2"/>
      <c r="L93" s="7">
        <f t="shared" si="24"/>
        <v>0</v>
      </c>
      <c r="M93" s="2"/>
      <c r="N93" s="6">
        <f t="shared" si="25"/>
        <v>0</v>
      </c>
      <c r="O93" s="11"/>
      <c r="P93" s="7"/>
      <c r="Q93" s="2"/>
      <c r="R93" s="6">
        <f t="shared" si="26"/>
        <v>0</v>
      </c>
      <c r="S93" s="2"/>
      <c r="T93" s="7">
        <v>0</v>
      </c>
      <c r="U93" s="2"/>
      <c r="V93" s="6">
        <f t="shared" si="27"/>
        <v>0</v>
      </c>
      <c r="W93" s="2"/>
      <c r="X93" s="7">
        <f t="shared" si="28"/>
        <v>0</v>
      </c>
      <c r="Y93" s="2"/>
      <c r="Z93" s="6">
        <f t="shared" si="29"/>
        <v>0</v>
      </c>
    </row>
    <row r="94" spans="1:26" s="24" customFormat="1" hidden="1" outlineLevel="2" x14ac:dyDescent="0.25">
      <c r="A94" s="26"/>
      <c r="B94" s="11" t="str">
        <f>CONCATENATE("          ", "6004", " - ", "STAFF HOURLY")</f>
        <v xml:space="preserve">          6004 - STAFF HOURLY</v>
      </c>
      <c r="C94" s="11"/>
      <c r="D94" s="7">
        <v>3122.6</v>
      </c>
      <c r="E94" s="2"/>
      <c r="F94" s="6">
        <f t="shared" si="22"/>
        <v>2.1881468534825251E-2</v>
      </c>
      <c r="G94" s="2"/>
      <c r="H94" s="7">
        <v>5497.11</v>
      </c>
      <c r="I94" s="2"/>
      <c r="J94" s="6">
        <f t="shared" si="23"/>
        <v>1.8324432977319092E-2</v>
      </c>
      <c r="K94" s="2"/>
      <c r="L94" s="7">
        <f t="shared" si="24"/>
        <v>-2374.5099999999998</v>
      </c>
      <c r="M94" s="2"/>
      <c r="N94" s="6">
        <f t="shared" si="25"/>
        <v>-0.43195606418645432</v>
      </c>
      <c r="O94" s="11"/>
      <c r="P94" s="7">
        <v>48949.78</v>
      </c>
      <c r="Q94" s="2"/>
      <c r="R94" s="6">
        <f t="shared" si="26"/>
        <v>3.8555430611944372E-2</v>
      </c>
      <c r="S94" s="2"/>
      <c r="T94" s="7">
        <v>52556.107499999998</v>
      </c>
      <c r="U94" s="2"/>
      <c r="V94" s="6">
        <f t="shared" si="27"/>
        <v>2.1115630500524916E-2</v>
      </c>
      <c r="W94" s="2"/>
      <c r="X94" s="7">
        <f t="shared" si="28"/>
        <v>-3606.3274999999994</v>
      </c>
      <c r="Y94" s="2"/>
      <c r="Z94" s="6">
        <f t="shared" si="29"/>
        <v>-6.8618618682899979E-2</v>
      </c>
    </row>
    <row r="95" spans="1:26" s="24" customFormat="1" hidden="1" outlineLevel="2" x14ac:dyDescent="0.25">
      <c r="A95" s="26"/>
      <c r="B95" s="11" t="str">
        <f>CONCATENATE("          ", "6005", " - ", "TEMPORARY WAGES-HOURLY")</f>
        <v xml:space="preserve">          6005 - TEMPORARY WAGES-HOURLY</v>
      </c>
      <c r="C95" s="11"/>
      <c r="D95" s="7">
        <v>6003.77</v>
      </c>
      <c r="E95" s="2"/>
      <c r="F95" s="6">
        <f t="shared" si="22"/>
        <v>4.2071128016821814E-2</v>
      </c>
      <c r="G95" s="2"/>
      <c r="H95" s="7">
        <v>0</v>
      </c>
      <c r="I95" s="2"/>
      <c r="J95" s="6">
        <f t="shared" si="23"/>
        <v>0</v>
      </c>
      <c r="K95" s="2"/>
      <c r="L95" s="7">
        <f t="shared" si="24"/>
        <v>6003.77</v>
      </c>
      <c r="M95" s="2"/>
      <c r="N95" s="6">
        <f t="shared" si="25"/>
        <v>0</v>
      </c>
      <c r="O95" s="11"/>
      <c r="P95" s="7">
        <v>37875.410000000003</v>
      </c>
      <c r="Q95" s="2"/>
      <c r="R95" s="6">
        <f t="shared" si="26"/>
        <v>2.9832672223530813E-2</v>
      </c>
      <c r="S95" s="2"/>
      <c r="T95" s="7">
        <v>0</v>
      </c>
      <c r="U95" s="2"/>
      <c r="V95" s="6">
        <f t="shared" si="27"/>
        <v>0</v>
      </c>
      <c r="W95" s="2"/>
      <c r="X95" s="7">
        <f t="shared" si="28"/>
        <v>37875.410000000003</v>
      </c>
      <c r="Y95" s="2"/>
      <c r="Z95" s="6">
        <f t="shared" si="29"/>
        <v>0</v>
      </c>
    </row>
    <row r="96" spans="1:26" s="24" customFormat="1" hidden="1" outlineLevel="2" x14ac:dyDescent="0.25">
      <c r="A96" s="26"/>
      <c r="B96" s="11" t="str">
        <f>CONCATENATE("          ", "6006", " - ", "TEMPORARY PART TIME")</f>
        <v xml:space="preserve">          6006 - TEMPORARY PART TIME</v>
      </c>
      <c r="C96" s="11"/>
      <c r="D96" s="7">
        <v>1272.68</v>
      </c>
      <c r="E96" s="2"/>
      <c r="F96" s="6">
        <f t="shared" si="22"/>
        <v>8.9182435710309996E-3</v>
      </c>
      <c r="G96" s="2"/>
      <c r="H96" s="7">
        <v>0</v>
      </c>
      <c r="I96" s="2"/>
      <c r="J96" s="6">
        <f t="shared" si="23"/>
        <v>0</v>
      </c>
      <c r="K96" s="2"/>
      <c r="L96" s="7">
        <f t="shared" si="24"/>
        <v>1272.68</v>
      </c>
      <c r="M96" s="2"/>
      <c r="N96" s="6">
        <f t="shared" si="25"/>
        <v>0</v>
      </c>
      <c r="O96" s="11"/>
      <c r="P96" s="7">
        <v>2263.46</v>
      </c>
      <c r="Q96" s="2"/>
      <c r="R96" s="6">
        <f t="shared" si="26"/>
        <v>1.7828205759640107E-3</v>
      </c>
      <c r="S96" s="2"/>
      <c r="T96" s="7">
        <v>0</v>
      </c>
      <c r="U96" s="2"/>
      <c r="V96" s="6">
        <f t="shared" si="27"/>
        <v>0</v>
      </c>
      <c r="W96" s="2"/>
      <c r="X96" s="7">
        <f t="shared" si="28"/>
        <v>2263.46</v>
      </c>
      <c r="Y96" s="2"/>
      <c r="Z96" s="6">
        <f t="shared" si="29"/>
        <v>0</v>
      </c>
    </row>
    <row r="97" spans="1:26" s="24" customFormat="1" hidden="1" outlineLevel="2" x14ac:dyDescent="0.25">
      <c r="A97" s="26"/>
      <c r="B97" s="11" t="str">
        <f>CONCATENATE("          ", "6007", " - ", "STUDENT HOURLY")</f>
        <v xml:space="preserve">          6007 - STUDENT HOURLY</v>
      </c>
      <c r="C97" s="11"/>
      <c r="D97" s="7">
        <v>6707.96</v>
      </c>
      <c r="E97" s="2"/>
      <c r="F97" s="6">
        <f t="shared" si="22"/>
        <v>4.700570539706219E-2</v>
      </c>
      <c r="G97" s="2"/>
      <c r="H97" s="7">
        <v>0</v>
      </c>
      <c r="I97" s="2"/>
      <c r="J97" s="6">
        <f t="shared" si="23"/>
        <v>0</v>
      </c>
      <c r="K97" s="2"/>
      <c r="L97" s="7">
        <f t="shared" si="24"/>
        <v>6707.96</v>
      </c>
      <c r="M97" s="2"/>
      <c r="N97" s="6">
        <f t="shared" si="25"/>
        <v>0</v>
      </c>
      <c r="O97" s="11"/>
      <c r="P97" s="7">
        <v>53751.16</v>
      </c>
      <c r="Q97" s="2"/>
      <c r="R97" s="6">
        <f t="shared" si="26"/>
        <v>4.2337250947634901E-2</v>
      </c>
      <c r="S97" s="2"/>
      <c r="T97" s="7">
        <v>68776.5</v>
      </c>
      <c r="U97" s="2"/>
      <c r="V97" s="6">
        <f t="shared" si="27"/>
        <v>2.7632547960659986E-2</v>
      </c>
      <c r="W97" s="2"/>
      <c r="X97" s="7">
        <f t="shared" si="28"/>
        <v>-15025.339999999997</v>
      </c>
      <c r="Y97" s="2"/>
      <c r="Z97" s="6">
        <f t="shared" si="29"/>
        <v>-0.21846619121356853</v>
      </c>
    </row>
    <row r="98" spans="1:26" s="24" customFormat="1" hidden="1" outlineLevel="2" x14ac:dyDescent="0.25">
      <c r="A98" s="26"/>
      <c r="B98" s="11" t="str">
        <f>CONCATENATE("          ", "6008", " - ", "STUDENT HOURLY-FICA EXEMPT")</f>
        <v xml:space="preserve">          6008 - STUDENT HOURLY-FICA EXEMPT</v>
      </c>
      <c r="C98" s="11"/>
      <c r="D98" s="7">
        <v>1112.3699999999999</v>
      </c>
      <c r="E98" s="2"/>
      <c r="F98" s="6">
        <f t="shared" si="22"/>
        <v>7.7948789963759564E-3</v>
      </c>
      <c r="G98" s="2"/>
      <c r="H98" s="7">
        <v>39731.629999999997</v>
      </c>
      <c r="I98" s="2"/>
      <c r="J98" s="6">
        <f t="shared" si="23"/>
        <v>0.13244406442924384</v>
      </c>
      <c r="K98" s="2"/>
      <c r="L98" s="7">
        <f t="shared" si="24"/>
        <v>-38619.259999999995</v>
      </c>
      <c r="M98" s="2"/>
      <c r="N98" s="6">
        <f t="shared" si="25"/>
        <v>-0.97200291052745624</v>
      </c>
      <c r="O98" s="11"/>
      <c r="P98" s="7">
        <v>5525.33</v>
      </c>
      <c r="Q98" s="2"/>
      <c r="R98" s="6">
        <f t="shared" si="26"/>
        <v>4.3520415704236997E-3</v>
      </c>
      <c r="S98" s="2"/>
      <c r="T98" s="7">
        <v>273126.15999999997</v>
      </c>
      <c r="U98" s="2"/>
      <c r="V98" s="6">
        <f t="shared" si="27"/>
        <v>0.10973474537830352</v>
      </c>
      <c r="W98" s="2"/>
      <c r="X98" s="7">
        <f t="shared" si="28"/>
        <v>-267600.82999999996</v>
      </c>
      <c r="Y98" s="2"/>
      <c r="Z98" s="6">
        <f t="shared" si="29"/>
        <v>-0.97977004472951246</v>
      </c>
    </row>
    <row r="99" spans="1:26" s="24" customFormat="1" hidden="1" outlineLevel="2" x14ac:dyDescent="0.25">
      <c r="A99" s="26"/>
      <c r="B99" s="11" t="str">
        <f>CONCATENATE("          ", "6009", " - ", "TEMPORARY-SEASONAL")</f>
        <v xml:space="preserve">          6009 - TEMPORARY-SEASONAL</v>
      </c>
      <c r="C99" s="11"/>
      <c r="D99" s="7"/>
      <c r="E99" s="2"/>
      <c r="F99" s="6">
        <f t="shared" si="22"/>
        <v>0</v>
      </c>
      <c r="G99" s="2"/>
      <c r="H99" s="7">
        <v>0</v>
      </c>
      <c r="I99" s="2"/>
      <c r="J99" s="6">
        <f t="shared" si="23"/>
        <v>0</v>
      </c>
      <c r="K99" s="2"/>
      <c r="L99" s="7">
        <f t="shared" si="24"/>
        <v>0</v>
      </c>
      <c r="M99" s="2"/>
      <c r="N99" s="6">
        <f t="shared" si="25"/>
        <v>0</v>
      </c>
      <c r="O99" s="11"/>
      <c r="P99" s="7"/>
      <c r="Q99" s="2"/>
      <c r="R99" s="6">
        <f t="shared" si="26"/>
        <v>0</v>
      </c>
      <c r="S99" s="2"/>
      <c r="T99" s="7">
        <v>0</v>
      </c>
      <c r="U99" s="2"/>
      <c r="V99" s="6">
        <f t="shared" si="27"/>
        <v>0</v>
      </c>
      <c r="W99" s="2"/>
      <c r="X99" s="7">
        <f t="shared" si="28"/>
        <v>0</v>
      </c>
      <c r="Y99" s="2"/>
      <c r="Z99" s="6">
        <f t="shared" si="29"/>
        <v>0</v>
      </c>
    </row>
    <row r="100" spans="1:26" s="24" customFormat="1" hidden="1" outlineLevel="2" x14ac:dyDescent="0.25">
      <c r="A100" s="26"/>
      <c r="B100" s="11" t="str">
        <f>CONCATENATE("          ", "6010", " - ", "GRATUITY")</f>
        <v xml:space="preserve">          6010 - GRATUITY</v>
      </c>
      <c r="C100" s="11"/>
      <c r="D100" s="7"/>
      <c r="E100" s="2"/>
      <c r="F100" s="6">
        <f t="shared" si="22"/>
        <v>0</v>
      </c>
      <c r="G100" s="2"/>
      <c r="H100" s="7">
        <v>0</v>
      </c>
      <c r="I100" s="2"/>
      <c r="J100" s="6">
        <f t="shared" si="23"/>
        <v>0</v>
      </c>
      <c r="K100" s="2"/>
      <c r="L100" s="7">
        <f t="shared" si="24"/>
        <v>0</v>
      </c>
      <c r="M100" s="2"/>
      <c r="N100" s="6">
        <f t="shared" si="25"/>
        <v>0</v>
      </c>
      <c r="O100" s="11"/>
      <c r="P100" s="7"/>
      <c r="Q100" s="2"/>
      <c r="R100" s="6">
        <f t="shared" si="26"/>
        <v>0</v>
      </c>
      <c r="S100" s="2"/>
      <c r="T100" s="7">
        <v>0</v>
      </c>
      <c r="U100" s="2"/>
      <c r="V100" s="6">
        <f t="shared" si="27"/>
        <v>0</v>
      </c>
      <c r="W100" s="2"/>
      <c r="X100" s="7">
        <f t="shared" si="28"/>
        <v>0</v>
      </c>
      <c r="Y100" s="2"/>
      <c r="Z100" s="6">
        <f t="shared" si="29"/>
        <v>0</v>
      </c>
    </row>
    <row r="101" spans="1:26" s="25" customFormat="1" outlineLevel="1" collapsed="1" x14ac:dyDescent="0.25">
      <c r="A101" s="27"/>
      <c r="B101" s="13" t="str">
        <f>CONCATENATE("     ","Advertising/Promo                                 ")</f>
        <v xml:space="preserve">     Advertising/Promo                                 </v>
      </c>
      <c r="C101" s="13"/>
      <c r="D101" s="1">
        <f>SUM(OSRRefD22_2x_0)</f>
        <v>42.6</v>
      </c>
      <c r="E101" s="1"/>
      <c r="F101" s="5">
        <f t="shared" ref="F101:F113" si="30">IF(D$12=0,0,D101/D$12)</f>
        <v>2.9851744046101189E-4</v>
      </c>
      <c r="G101" s="1"/>
      <c r="H101" s="1">
        <f>SUM(OSRRefH22_2x_0)</f>
        <v>2080</v>
      </c>
      <c r="I101" s="1"/>
      <c r="J101" s="5">
        <f t="shared" ref="J101:J113" si="31">IF(H$12=0,0,H101/H$12)</f>
        <v>6.9336106777604439E-3</v>
      </c>
      <c r="K101" s="1"/>
      <c r="L101" s="1">
        <f t="shared" ref="L101:L113" si="32">+D101-H101</f>
        <v>-2037.4</v>
      </c>
      <c r="M101" s="1"/>
      <c r="N101" s="5">
        <f t="shared" ref="N101:N113" si="33">IF(H101=0,0,L101/H101)</f>
        <v>-0.97951923076923086</v>
      </c>
      <c r="O101" s="13"/>
      <c r="P101" s="1">
        <f>SUM(OSRRefP22_2x_0)</f>
        <v>12817.92</v>
      </c>
      <c r="Q101" s="1"/>
      <c r="R101" s="5">
        <f t="shared" ref="R101:R113" si="34">IF(P$12=0,0,P101/P$12)</f>
        <v>1.0096070404186782E-2</v>
      </c>
      <c r="S101" s="1"/>
      <c r="T101" s="1">
        <f>SUM(OSRRefT22_2x_0)</f>
        <v>7720</v>
      </c>
      <c r="U101" s="1"/>
      <c r="V101" s="5">
        <f t="shared" ref="V101:V113" si="35">IF(T$12=0,0,T101/T$12)</f>
        <v>3.1016883711194243E-3</v>
      </c>
      <c r="W101" s="1"/>
      <c r="X101" s="1">
        <f t="shared" ref="X101:X113" si="36">+P101-T101</f>
        <v>5097.92</v>
      </c>
      <c r="Y101" s="1"/>
      <c r="Z101" s="5">
        <f t="shared" ref="Z101:Z113" si="37">IF(T101=0,0,X101/T101)</f>
        <v>0.66035233160621765</v>
      </c>
    </row>
    <row r="102" spans="1:26" s="24" customFormat="1" hidden="1" outlineLevel="2" x14ac:dyDescent="0.25">
      <c r="A102" s="26"/>
      <c r="B102" s="11" t="str">
        <f>CONCATENATE("          ", "6362", " - ", "ADVERTISING EXPENSE")</f>
        <v xml:space="preserve">          6362 - ADVERTISING EXPENSE</v>
      </c>
      <c r="C102" s="11"/>
      <c r="D102" s="7">
        <v>42.6</v>
      </c>
      <c r="E102" s="2"/>
      <c r="F102" s="6">
        <f t="shared" si="30"/>
        <v>2.9851744046101189E-4</v>
      </c>
      <c r="G102" s="2"/>
      <c r="H102" s="7">
        <v>2080</v>
      </c>
      <c r="I102" s="2"/>
      <c r="J102" s="6">
        <f t="shared" si="31"/>
        <v>6.9336106777604439E-3</v>
      </c>
      <c r="K102" s="2"/>
      <c r="L102" s="7">
        <f t="shared" si="32"/>
        <v>-2037.4</v>
      </c>
      <c r="M102" s="2"/>
      <c r="N102" s="6">
        <f t="shared" si="33"/>
        <v>-0.97951923076923086</v>
      </c>
      <c r="O102" s="11"/>
      <c r="P102" s="7">
        <v>12817.92</v>
      </c>
      <c r="Q102" s="2"/>
      <c r="R102" s="6">
        <f t="shared" si="34"/>
        <v>1.0096070404186782E-2</v>
      </c>
      <c r="S102" s="2"/>
      <c r="T102" s="7">
        <v>7720</v>
      </c>
      <c r="U102" s="2"/>
      <c r="V102" s="6">
        <f t="shared" si="35"/>
        <v>3.1016883711194243E-3</v>
      </c>
      <c r="W102" s="2"/>
      <c r="X102" s="7">
        <f t="shared" si="36"/>
        <v>5097.92</v>
      </c>
      <c r="Y102" s="2"/>
      <c r="Z102" s="6">
        <f t="shared" si="37"/>
        <v>0.66035233160621765</v>
      </c>
    </row>
    <row r="103" spans="1:26" s="25" customFormat="1" outlineLevel="1" collapsed="1" x14ac:dyDescent="0.25">
      <c r="A103" s="27"/>
      <c r="B103" s="13" t="str">
        <f>CONCATENATE("     ","Bad Debts/Over/Short                              ")</f>
        <v xml:space="preserve">     Bad Debts/Over/Short                              </v>
      </c>
      <c r="C103" s="13"/>
      <c r="D103" s="1">
        <f>SUM(OSRRefD22_3x_0)</f>
        <v>0</v>
      </c>
      <c r="E103" s="1"/>
      <c r="F103" s="5">
        <f t="shared" si="30"/>
        <v>0</v>
      </c>
      <c r="G103" s="1"/>
      <c r="H103" s="1">
        <f>SUM(OSRRefH22_3x_0)</f>
        <v>0</v>
      </c>
      <c r="I103" s="1"/>
      <c r="J103" s="5">
        <f t="shared" si="31"/>
        <v>0</v>
      </c>
      <c r="K103" s="1"/>
      <c r="L103" s="1">
        <f t="shared" si="32"/>
        <v>0</v>
      </c>
      <c r="M103" s="1"/>
      <c r="N103" s="5">
        <f t="shared" si="33"/>
        <v>0</v>
      </c>
      <c r="O103" s="13"/>
      <c r="P103" s="1">
        <f>SUM(OSRRefP22_3x_0)</f>
        <v>0</v>
      </c>
      <c r="Q103" s="1"/>
      <c r="R103" s="5">
        <f t="shared" si="34"/>
        <v>0</v>
      </c>
      <c r="S103" s="1"/>
      <c r="T103" s="1">
        <f>SUM(OSRRefT22_3x_0)</f>
        <v>0</v>
      </c>
      <c r="U103" s="1"/>
      <c r="V103" s="5">
        <f t="shared" si="35"/>
        <v>0</v>
      </c>
      <c r="W103" s="1"/>
      <c r="X103" s="1">
        <f t="shared" si="36"/>
        <v>0</v>
      </c>
      <c r="Y103" s="1"/>
      <c r="Z103" s="5">
        <f t="shared" si="37"/>
        <v>0</v>
      </c>
    </row>
    <row r="104" spans="1:26" s="24" customFormat="1" hidden="1" outlineLevel="2" x14ac:dyDescent="0.25">
      <c r="A104" s="26"/>
      <c r="B104" s="11" t="str">
        <f>CONCATENATE("          ", "6272", " - ", "CASH (OVER/SHORT)")</f>
        <v xml:space="preserve">          6272 - CASH (OVER/SHORT)</v>
      </c>
      <c r="C104" s="11"/>
      <c r="D104" s="7"/>
      <c r="E104" s="2"/>
      <c r="F104" s="6">
        <f t="shared" si="30"/>
        <v>0</v>
      </c>
      <c r="G104" s="2"/>
      <c r="H104" s="7">
        <v>0</v>
      </c>
      <c r="I104" s="2"/>
      <c r="J104" s="6">
        <f t="shared" si="31"/>
        <v>0</v>
      </c>
      <c r="K104" s="2"/>
      <c r="L104" s="7">
        <f t="shared" si="32"/>
        <v>0</v>
      </c>
      <c r="M104" s="2"/>
      <c r="N104" s="6">
        <f t="shared" si="33"/>
        <v>0</v>
      </c>
      <c r="O104" s="11"/>
      <c r="P104" s="7"/>
      <c r="Q104" s="2"/>
      <c r="R104" s="6">
        <f t="shared" si="34"/>
        <v>0</v>
      </c>
      <c r="S104" s="2"/>
      <c r="T104" s="7">
        <v>0</v>
      </c>
      <c r="U104" s="2"/>
      <c r="V104" s="6">
        <f t="shared" si="35"/>
        <v>0</v>
      </c>
      <c r="W104" s="2"/>
      <c r="X104" s="7">
        <f t="shared" si="36"/>
        <v>0</v>
      </c>
      <c r="Y104" s="2"/>
      <c r="Z104" s="6">
        <f t="shared" si="37"/>
        <v>0</v>
      </c>
    </row>
    <row r="105" spans="1:26" s="25" customFormat="1" outlineLevel="1" collapsed="1" x14ac:dyDescent="0.25">
      <c r="A105" s="27"/>
      <c r="B105" s="13" t="str">
        <f>CONCATENATE("     ","Bank/card Fees                                    ")</f>
        <v xml:space="preserve">     Bank/card Fees                                    </v>
      </c>
      <c r="C105" s="13"/>
      <c r="D105" s="1">
        <f>SUM(OSRRefD22_4x_0)</f>
        <v>0</v>
      </c>
      <c r="E105" s="1"/>
      <c r="F105" s="5">
        <f t="shared" si="30"/>
        <v>0</v>
      </c>
      <c r="G105" s="1"/>
      <c r="H105" s="1">
        <f>SUM(OSRRefH22_4x_0)</f>
        <v>0</v>
      </c>
      <c r="I105" s="1"/>
      <c r="J105" s="5">
        <f t="shared" si="31"/>
        <v>0</v>
      </c>
      <c r="K105" s="1"/>
      <c r="L105" s="1">
        <f t="shared" si="32"/>
        <v>0</v>
      </c>
      <c r="M105" s="1"/>
      <c r="N105" s="5">
        <f t="shared" si="33"/>
        <v>0</v>
      </c>
      <c r="O105" s="13"/>
      <c r="P105" s="1">
        <f>SUM(OSRRefP22_4x_0)</f>
        <v>0</v>
      </c>
      <c r="Q105" s="1"/>
      <c r="R105" s="5">
        <f t="shared" si="34"/>
        <v>0</v>
      </c>
      <c r="S105" s="1"/>
      <c r="T105" s="1">
        <f>SUM(OSRRefT22_4x_0)</f>
        <v>0</v>
      </c>
      <c r="U105" s="1"/>
      <c r="V105" s="5">
        <f t="shared" si="35"/>
        <v>0</v>
      </c>
      <c r="W105" s="1"/>
      <c r="X105" s="1">
        <f t="shared" si="36"/>
        <v>0</v>
      </c>
      <c r="Y105" s="1"/>
      <c r="Z105" s="5">
        <f t="shared" si="37"/>
        <v>0</v>
      </c>
    </row>
    <row r="106" spans="1:26" s="24" customFormat="1" hidden="1" outlineLevel="2" x14ac:dyDescent="0.25">
      <c r="A106" s="26"/>
      <c r="B106" s="11" t="str">
        <f>CONCATENATE("          ", "6381", " - ", "BANK/CREDIT CARD FEES")</f>
        <v xml:space="preserve">          6381 - BANK/CREDIT CARD FEES</v>
      </c>
      <c r="C106" s="11"/>
      <c r="D106" s="7"/>
      <c r="E106" s="2"/>
      <c r="F106" s="6">
        <f t="shared" si="30"/>
        <v>0</v>
      </c>
      <c r="G106" s="2"/>
      <c r="H106" s="7">
        <v>0</v>
      </c>
      <c r="I106" s="2"/>
      <c r="J106" s="6">
        <f t="shared" si="31"/>
        <v>0</v>
      </c>
      <c r="K106" s="2"/>
      <c r="L106" s="7">
        <f t="shared" si="32"/>
        <v>0</v>
      </c>
      <c r="M106" s="2"/>
      <c r="N106" s="6">
        <f t="shared" si="33"/>
        <v>0</v>
      </c>
      <c r="O106" s="11"/>
      <c r="P106" s="7"/>
      <c r="Q106" s="2"/>
      <c r="R106" s="6">
        <f t="shared" si="34"/>
        <v>0</v>
      </c>
      <c r="S106" s="2"/>
      <c r="T106" s="7">
        <v>0</v>
      </c>
      <c r="U106" s="2"/>
      <c r="V106" s="6">
        <f t="shared" si="35"/>
        <v>0</v>
      </c>
      <c r="W106" s="2"/>
      <c r="X106" s="7">
        <f t="shared" si="36"/>
        <v>0</v>
      </c>
      <c r="Y106" s="2"/>
      <c r="Z106" s="6">
        <f t="shared" si="37"/>
        <v>0</v>
      </c>
    </row>
    <row r="107" spans="1:26" s="25" customFormat="1" outlineLevel="1" collapsed="1" x14ac:dyDescent="0.25">
      <c r="A107" s="27"/>
      <c r="B107" s="13" t="str">
        <f>CONCATENATE("     ","Discounts and Markdowns                           ")</f>
        <v xml:space="preserve">     Discounts and Markdowns                           </v>
      </c>
      <c r="C107" s="13"/>
      <c r="D107" s="1">
        <f>SUM(OSRRefD22_5x_0)</f>
        <v>0</v>
      </c>
      <c r="E107" s="1"/>
      <c r="F107" s="5">
        <f t="shared" si="30"/>
        <v>0</v>
      </c>
      <c r="G107" s="1"/>
      <c r="H107" s="1">
        <f>SUM(OSRRefH22_5x_0)</f>
        <v>22499</v>
      </c>
      <c r="I107" s="1"/>
      <c r="J107" s="5">
        <f t="shared" si="31"/>
        <v>7.4999666653332797E-2</v>
      </c>
      <c r="K107" s="1"/>
      <c r="L107" s="1">
        <f t="shared" si="32"/>
        <v>-22499</v>
      </c>
      <c r="M107" s="1"/>
      <c r="N107" s="5">
        <f t="shared" si="33"/>
        <v>-1</v>
      </c>
      <c r="O107" s="13"/>
      <c r="P107" s="1">
        <f>SUM(OSRRefP22_5x_0)</f>
        <v>0</v>
      </c>
      <c r="Q107" s="1"/>
      <c r="R107" s="5">
        <f t="shared" si="34"/>
        <v>0</v>
      </c>
      <c r="S107" s="1"/>
      <c r="T107" s="1">
        <f>SUM(OSRRefT22_5x_0)</f>
        <v>186672</v>
      </c>
      <c r="U107" s="1"/>
      <c r="V107" s="5">
        <f t="shared" si="35"/>
        <v>7.4999789069119846E-2</v>
      </c>
      <c r="W107" s="1"/>
      <c r="X107" s="1">
        <f t="shared" si="36"/>
        <v>-186672</v>
      </c>
      <c r="Y107" s="1"/>
      <c r="Z107" s="5">
        <f t="shared" si="37"/>
        <v>-1</v>
      </c>
    </row>
    <row r="108" spans="1:26" s="24" customFormat="1" hidden="1" outlineLevel="2" x14ac:dyDescent="0.25">
      <c r="A108" s="26"/>
      <c r="B108" s="11" t="str">
        <f>CONCATENATE("          ", "6382", " - ", "DISCOUNTS/MARK DOWNS")</f>
        <v xml:space="preserve">          6382 - DISCOUNTS/MARK DOWNS</v>
      </c>
      <c r="C108" s="11"/>
      <c r="D108" s="7">
        <v>0</v>
      </c>
      <c r="E108" s="2"/>
      <c r="F108" s="6">
        <f t="shared" si="30"/>
        <v>0</v>
      </c>
      <c r="G108" s="2"/>
      <c r="H108" s="7">
        <v>22499</v>
      </c>
      <c r="I108" s="2"/>
      <c r="J108" s="6">
        <f t="shared" si="31"/>
        <v>7.4999666653332797E-2</v>
      </c>
      <c r="K108" s="2"/>
      <c r="L108" s="7">
        <f t="shared" si="32"/>
        <v>-22499</v>
      </c>
      <c r="M108" s="2"/>
      <c r="N108" s="6">
        <f t="shared" si="33"/>
        <v>-1</v>
      </c>
      <c r="O108" s="11"/>
      <c r="P108" s="7">
        <v>0</v>
      </c>
      <c r="Q108" s="2"/>
      <c r="R108" s="6">
        <f t="shared" si="34"/>
        <v>0</v>
      </c>
      <c r="S108" s="2"/>
      <c r="T108" s="7">
        <v>186672</v>
      </c>
      <c r="U108" s="2"/>
      <c r="V108" s="6">
        <f t="shared" si="35"/>
        <v>7.4999789069119846E-2</v>
      </c>
      <c r="W108" s="2"/>
      <c r="X108" s="7">
        <f t="shared" si="36"/>
        <v>-186672</v>
      </c>
      <c r="Y108" s="2"/>
      <c r="Z108" s="6">
        <f t="shared" si="37"/>
        <v>-1</v>
      </c>
    </row>
    <row r="109" spans="1:26" s="25" customFormat="1" outlineLevel="1" collapsed="1" x14ac:dyDescent="0.25">
      <c r="A109" s="27"/>
      <c r="B109" s="13" t="str">
        <f>CONCATENATE("     ","Employees' Appreciation                           ")</f>
        <v xml:space="preserve">     Employees' Appreciation                           </v>
      </c>
      <c r="C109" s="13"/>
      <c r="D109" s="1">
        <f>SUM(OSRRefD22_6x_0)</f>
        <v>0</v>
      </c>
      <c r="E109" s="1"/>
      <c r="F109" s="5">
        <f t="shared" si="30"/>
        <v>0</v>
      </c>
      <c r="G109" s="1"/>
      <c r="H109" s="1">
        <f>SUM(OSRRefH22_6x_0)</f>
        <v>150</v>
      </c>
      <c r="I109" s="1"/>
      <c r="J109" s="5">
        <f t="shared" si="31"/>
        <v>5.0002000080003202E-4</v>
      </c>
      <c r="K109" s="1"/>
      <c r="L109" s="1">
        <f t="shared" si="32"/>
        <v>-150</v>
      </c>
      <c r="M109" s="1"/>
      <c r="N109" s="5">
        <f t="shared" si="33"/>
        <v>-1</v>
      </c>
      <c r="O109" s="13"/>
      <c r="P109" s="1">
        <f>SUM(OSRRefP22_6x_0)</f>
        <v>0</v>
      </c>
      <c r="Q109" s="1"/>
      <c r="R109" s="5">
        <f t="shared" si="34"/>
        <v>0</v>
      </c>
      <c r="S109" s="1"/>
      <c r="T109" s="1">
        <f>SUM(OSRRefT22_6x_0)</f>
        <v>1350</v>
      </c>
      <c r="U109" s="1"/>
      <c r="V109" s="5">
        <f t="shared" si="35"/>
        <v>5.4239369184083197E-4</v>
      </c>
      <c r="W109" s="1"/>
      <c r="X109" s="1">
        <f t="shared" si="36"/>
        <v>-1350</v>
      </c>
      <c r="Y109" s="1"/>
      <c r="Z109" s="5">
        <f t="shared" si="37"/>
        <v>-1</v>
      </c>
    </row>
    <row r="110" spans="1:26" s="24" customFormat="1" hidden="1" outlineLevel="2" x14ac:dyDescent="0.25">
      <c r="A110" s="26"/>
      <c r="B110" s="11" t="str">
        <f>CONCATENATE("          ", "6277", " - ", "EMPLOYEE APPRECIATION")</f>
        <v xml:space="preserve">          6277 - EMPLOYEE APPRECIATION</v>
      </c>
      <c r="C110" s="11"/>
      <c r="D110" s="7"/>
      <c r="E110" s="2"/>
      <c r="F110" s="6">
        <f t="shared" si="30"/>
        <v>0</v>
      </c>
      <c r="G110" s="2"/>
      <c r="H110" s="7">
        <v>150</v>
      </c>
      <c r="I110" s="2"/>
      <c r="J110" s="6">
        <f t="shared" si="31"/>
        <v>5.0002000080003202E-4</v>
      </c>
      <c r="K110" s="2"/>
      <c r="L110" s="7">
        <f t="shared" si="32"/>
        <v>-150</v>
      </c>
      <c r="M110" s="2"/>
      <c r="N110" s="6">
        <f t="shared" si="33"/>
        <v>-1</v>
      </c>
      <c r="O110" s="11"/>
      <c r="P110" s="7"/>
      <c r="Q110" s="2"/>
      <c r="R110" s="6">
        <f t="shared" si="34"/>
        <v>0</v>
      </c>
      <c r="S110" s="2"/>
      <c r="T110" s="7">
        <v>1350</v>
      </c>
      <c r="U110" s="2"/>
      <c r="V110" s="6">
        <f t="shared" si="35"/>
        <v>5.4239369184083197E-4</v>
      </c>
      <c r="W110" s="2"/>
      <c r="X110" s="7">
        <f t="shared" si="36"/>
        <v>-1350</v>
      </c>
      <c r="Y110" s="2"/>
      <c r="Z110" s="6">
        <f t="shared" si="37"/>
        <v>-1</v>
      </c>
    </row>
    <row r="111" spans="1:26" s="25" customFormat="1" outlineLevel="1" collapsed="1" x14ac:dyDescent="0.25">
      <c r="A111" s="27"/>
      <c r="B111" s="13" t="str">
        <f>CONCATENATE("     ","Freight out/Postage                               ")</f>
        <v xml:space="preserve">     Freight out/Postage                               </v>
      </c>
      <c r="C111" s="13"/>
      <c r="D111" s="1">
        <f>SUM(OSRRefD22_7x_0)</f>
        <v>-502.63</v>
      </c>
      <c r="E111" s="1"/>
      <c r="F111" s="5">
        <f t="shared" si="30"/>
        <v>-3.5221554248572396E-3</v>
      </c>
      <c r="G111" s="1"/>
      <c r="H111" s="1">
        <f>SUM(OSRRefH22_7x_0)</f>
        <v>10</v>
      </c>
      <c r="I111" s="1"/>
      <c r="J111" s="5">
        <f t="shared" si="31"/>
        <v>3.3334666720002134E-5</v>
      </c>
      <c r="K111" s="1"/>
      <c r="L111" s="1">
        <f t="shared" si="32"/>
        <v>-512.63</v>
      </c>
      <c r="M111" s="1"/>
      <c r="N111" s="5">
        <f t="shared" si="33"/>
        <v>-51.262999999999998</v>
      </c>
      <c r="O111" s="13"/>
      <c r="P111" s="1">
        <f>SUM(OSRRefP22_7x_0)</f>
        <v>-216.09999999999997</v>
      </c>
      <c r="Q111" s="1"/>
      <c r="R111" s="5">
        <f t="shared" si="34"/>
        <v>-1.7021176714667924E-4</v>
      </c>
      <c r="S111" s="1"/>
      <c r="T111" s="1">
        <f>SUM(OSRRefT22_7x_0)</f>
        <v>90</v>
      </c>
      <c r="U111" s="1"/>
      <c r="V111" s="5">
        <f t="shared" si="35"/>
        <v>3.6159579456055462E-5</v>
      </c>
      <c r="W111" s="1"/>
      <c r="X111" s="1">
        <f t="shared" si="36"/>
        <v>-306.09999999999997</v>
      </c>
      <c r="Y111" s="1"/>
      <c r="Z111" s="5">
        <f t="shared" si="37"/>
        <v>-3.4011111111111108</v>
      </c>
    </row>
    <row r="112" spans="1:26" s="24" customFormat="1" hidden="1" outlineLevel="2" x14ac:dyDescent="0.25">
      <c r="A112" s="26"/>
      <c r="B112" s="11" t="str">
        <f>CONCATENATE("          ", "6305", " - ", "FREIGHT OUT")</f>
        <v xml:space="preserve">          6305 - FREIGHT OUT</v>
      </c>
      <c r="C112" s="11"/>
      <c r="D112" s="7">
        <v>-233.44</v>
      </c>
      <c r="E112" s="2"/>
      <c r="F112" s="6">
        <f t="shared" si="30"/>
        <v>-1.6358195141131129E-3</v>
      </c>
      <c r="G112" s="2"/>
      <c r="H112" s="7"/>
      <c r="I112" s="2"/>
      <c r="J112" s="6">
        <f t="shared" si="31"/>
        <v>0</v>
      </c>
      <c r="K112" s="2"/>
      <c r="L112" s="7">
        <f t="shared" si="32"/>
        <v>-233.44</v>
      </c>
      <c r="M112" s="2"/>
      <c r="N112" s="6">
        <f t="shared" si="33"/>
        <v>0</v>
      </c>
      <c r="O112" s="11"/>
      <c r="P112" s="7">
        <v>73.239999999999995</v>
      </c>
      <c r="Q112" s="2"/>
      <c r="R112" s="6">
        <f t="shared" si="34"/>
        <v>5.7687690077847247E-5</v>
      </c>
      <c r="S112" s="2"/>
      <c r="T112" s="7"/>
      <c r="U112" s="2"/>
      <c r="V112" s="6">
        <f t="shared" si="35"/>
        <v>0</v>
      </c>
      <c r="W112" s="2"/>
      <c r="X112" s="7">
        <f t="shared" si="36"/>
        <v>73.239999999999995</v>
      </c>
      <c r="Y112" s="2"/>
      <c r="Z112" s="6">
        <f t="shared" si="37"/>
        <v>0</v>
      </c>
    </row>
    <row r="113" spans="1:26" s="24" customFormat="1" hidden="1" outlineLevel="2" x14ac:dyDescent="0.25">
      <c r="A113" s="26"/>
      <c r="B113" s="11" t="str">
        <f>CONCATENATE("          ", "6307", " - ", "POSTAGE")</f>
        <v xml:space="preserve">          6307 - POSTAGE</v>
      </c>
      <c r="C113" s="11"/>
      <c r="D113" s="7">
        <v>-269.19</v>
      </c>
      <c r="E113" s="2"/>
      <c r="F113" s="6">
        <f t="shared" si="30"/>
        <v>-1.8863359107441264E-3</v>
      </c>
      <c r="G113" s="2"/>
      <c r="H113" s="7">
        <v>10</v>
      </c>
      <c r="I113" s="2"/>
      <c r="J113" s="6">
        <f t="shared" si="31"/>
        <v>3.3334666720002134E-5</v>
      </c>
      <c r="K113" s="2"/>
      <c r="L113" s="7">
        <f t="shared" si="32"/>
        <v>-279.19</v>
      </c>
      <c r="M113" s="2"/>
      <c r="N113" s="6">
        <f t="shared" si="33"/>
        <v>-27.919</v>
      </c>
      <c r="O113" s="11"/>
      <c r="P113" s="7">
        <v>-289.33999999999997</v>
      </c>
      <c r="Q113" s="2"/>
      <c r="R113" s="6">
        <f t="shared" si="34"/>
        <v>-2.2789945722452652E-4</v>
      </c>
      <c r="S113" s="2"/>
      <c r="T113" s="7">
        <v>90</v>
      </c>
      <c r="U113" s="2"/>
      <c r="V113" s="6">
        <f t="shared" si="35"/>
        <v>3.6159579456055462E-5</v>
      </c>
      <c r="W113" s="2"/>
      <c r="X113" s="7">
        <f t="shared" si="36"/>
        <v>-379.34</v>
      </c>
      <c r="Y113" s="2"/>
      <c r="Z113" s="6">
        <f t="shared" si="37"/>
        <v>-4.2148888888888889</v>
      </c>
    </row>
    <row r="114" spans="1:26" s="25" customFormat="1" outlineLevel="1" collapsed="1" x14ac:dyDescent="0.25">
      <c r="A114" s="27"/>
      <c r="B114" s="13" t="str">
        <f>CONCATENATE("     ","General                                           ")</f>
        <v xml:space="preserve">     General                                           </v>
      </c>
      <c r="C114" s="13"/>
      <c r="D114" s="1">
        <f>SUM(OSRRefD22_8x_0)</f>
        <v>0</v>
      </c>
      <c r="E114" s="1"/>
      <c r="F114" s="5">
        <f t="shared" ref="F114:F118" si="38">IF(D$12=0,0,D114/D$12)</f>
        <v>0</v>
      </c>
      <c r="G114" s="1"/>
      <c r="H114" s="1">
        <f>SUM(OSRRefH22_8x_0)</f>
        <v>0</v>
      </c>
      <c r="I114" s="1"/>
      <c r="J114" s="5">
        <f t="shared" ref="J114:J118" si="39">IF(H$12=0,0,H114/H$12)</f>
        <v>0</v>
      </c>
      <c r="K114" s="1"/>
      <c r="L114" s="1">
        <f t="shared" ref="L114:L118" si="40">+D114-H114</f>
        <v>0</v>
      </c>
      <c r="M114" s="1"/>
      <c r="N114" s="5">
        <f t="shared" ref="N114:N118" si="41">IF(H114=0,0,L114/H114)</f>
        <v>0</v>
      </c>
      <c r="O114" s="13"/>
      <c r="P114" s="1">
        <f>SUM(OSRRefP22_8x_0)</f>
        <v>0</v>
      </c>
      <c r="Q114" s="1"/>
      <c r="R114" s="5">
        <f t="shared" ref="R114:R118" si="42">IF(P$12=0,0,P114/P$12)</f>
        <v>0</v>
      </c>
      <c r="S114" s="1"/>
      <c r="T114" s="1">
        <f>SUM(OSRRefT22_8x_0)</f>
        <v>500</v>
      </c>
      <c r="U114" s="1"/>
      <c r="V114" s="5">
        <f t="shared" ref="V114:V118" si="43">IF(T$12=0,0,T114/T$12)</f>
        <v>2.0088655253364145E-4</v>
      </c>
      <c r="W114" s="1"/>
      <c r="X114" s="1">
        <f t="shared" ref="X114:X118" si="44">+P114-T114</f>
        <v>-500</v>
      </c>
      <c r="Y114" s="1"/>
      <c r="Z114" s="5">
        <f t="shared" ref="Z114:Z118" si="45">IF(T114=0,0,X114/T114)</f>
        <v>-1</v>
      </c>
    </row>
    <row r="115" spans="1:26" s="24" customFormat="1" hidden="1" outlineLevel="2" x14ac:dyDescent="0.25">
      <c r="A115" s="26"/>
      <c r="B115" s="11" t="str">
        <f>CONCATENATE("          ", "6279", " - ", "GENERAL EXPENSE")</f>
        <v xml:space="preserve">          6279 - GENERAL EXPENSE</v>
      </c>
      <c r="C115" s="11"/>
      <c r="D115" s="7"/>
      <c r="E115" s="2"/>
      <c r="F115" s="6">
        <f t="shared" si="38"/>
        <v>0</v>
      </c>
      <c r="G115" s="2"/>
      <c r="H115" s="7">
        <v>0</v>
      </c>
      <c r="I115" s="2"/>
      <c r="J115" s="6">
        <f t="shared" si="39"/>
        <v>0</v>
      </c>
      <c r="K115" s="2"/>
      <c r="L115" s="7">
        <f t="shared" si="40"/>
        <v>0</v>
      </c>
      <c r="M115" s="2"/>
      <c r="N115" s="6">
        <f t="shared" si="41"/>
        <v>0</v>
      </c>
      <c r="O115" s="11"/>
      <c r="P115" s="7"/>
      <c r="Q115" s="2"/>
      <c r="R115" s="6">
        <f t="shared" si="42"/>
        <v>0</v>
      </c>
      <c r="S115" s="2"/>
      <c r="T115" s="7">
        <v>500</v>
      </c>
      <c r="U115" s="2"/>
      <c r="V115" s="6">
        <f t="shared" si="43"/>
        <v>2.0088655253364145E-4</v>
      </c>
      <c r="W115" s="2"/>
      <c r="X115" s="7">
        <f t="shared" si="44"/>
        <v>-500</v>
      </c>
      <c r="Y115" s="2"/>
      <c r="Z115" s="6">
        <f t="shared" si="45"/>
        <v>-1</v>
      </c>
    </row>
    <row r="116" spans="1:26" s="25" customFormat="1" outlineLevel="1" collapsed="1" x14ac:dyDescent="0.25">
      <c r="A116" s="27"/>
      <c r="B116" s="13" t="str">
        <f>CONCATENATE("     ","Inventory Adjustment                              ")</f>
        <v xml:space="preserve">     Inventory Adjustment                              </v>
      </c>
      <c r="C116" s="13"/>
      <c r="D116" s="1">
        <f>SUM(OSRRefD22_9x_0)</f>
        <v>1000</v>
      </c>
      <c r="E116" s="1"/>
      <c r="F116" s="5">
        <f t="shared" si="38"/>
        <v>7.0074516540143631E-3</v>
      </c>
      <c r="G116" s="1"/>
      <c r="H116" s="1">
        <f>SUM(OSRRefH22_9x_0)</f>
        <v>1000</v>
      </c>
      <c r="I116" s="1"/>
      <c r="J116" s="5">
        <f t="shared" si="39"/>
        <v>3.3334666720002135E-3</v>
      </c>
      <c r="K116" s="1"/>
      <c r="L116" s="1">
        <f t="shared" si="40"/>
        <v>0</v>
      </c>
      <c r="M116" s="1"/>
      <c r="N116" s="5">
        <f t="shared" si="41"/>
        <v>0</v>
      </c>
      <c r="O116" s="13"/>
      <c r="P116" s="1">
        <f>SUM(OSRRefP22_9x_0)</f>
        <v>9000</v>
      </c>
      <c r="Q116" s="1"/>
      <c r="R116" s="5">
        <f t="shared" si="42"/>
        <v>7.0888750778348615E-3</v>
      </c>
      <c r="S116" s="1"/>
      <c r="T116" s="1">
        <f>SUM(OSRRefT22_9x_0)</f>
        <v>9000</v>
      </c>
      <c r="U116" s="1"/>
      <c r="V116" s="5">
        <f t="shared" si="43"/>
        <v>3.6159579456055465E-3</v>
      </c>
      <c r="W116" s="1"/>
      <c r="X116" s="1">
        <f t="shared" si="44"/>
        <v>0</v>
      </c>
      <c r="Y116" s="1"/>
      <c r="Z116" s="5">
        <f t="shared" si="45"/>
        <v>0</v>
      </c>
    </row>
    <row r="117" spans="1:26" s="24" customFormat="1" hidden="1" outlineLevel="2" x14ac:dyDescent="0.25">
      <c r="A117" s="26"/>
      <c r="B117" s="11" t="str">
        <f>CONCATENATE("          ", "6408", " - ", "INVENTORY ADJUSTMENT")</f>
        <v xml:space="preserve">          6408 - INVENTORY ADJUSTMENT</v>
      </c>
      <c r="C117" s="11"/>
      <c r="D117" s="7">
        <v>1000</v>
      </c>
      <c r="E117" s="2"/>
      <c r="F117" s="6">
        <f t="shared" si="38"/>
        <v>7.0074516540143631E-3</v>
      </c>
      <c r="G117" s="2"/>
      <c r="H117" s="7">
        <v>1000</v>
      </c>
      <c r="I117" s="2"/>
      <c r="J117" s="6">
        <f t="shared" si="39"/>
        <v>3.3334666720002135E-3</v>
      </c>
      <c r="K117" s="2"/>
      <c r="L117" s="7">
        <f t="shared" si="40"/>
        <v>0</v>
      </c>
      <c r="M117" s="2"/>
      <c r="N117" s="6">
        <f t="shared" si="41"/>
        <v>0</v>
      </c>
      <c r="O117" s="11"/>
      <c r="P117" s="7">
        <v>9000</v>
      </c>
      <c r="Q117" s="2"/>
      <c r="R117" s="6">
        <f t="shared" si="42"/>
        <v>7.0888750778348615E-3</v>
      </c>
      <c r="S117" s="2"/>
      <c r="T117" s="7">
        <v>9000</v>
      </c>
      <c r="U117" s="2"/>
      <c r="V117" s="6">
        <f t="shared" si="43"/>
        <v>3.6159579456055465E-3</v>
      </c>
      <c r="W117" s="2"/>
      <c r="X117" s="7">
        <f t="shared" si="44"/>
        <v>0</v>
      </c>
      <c r="Y117" s="2"/>
      <c r="Z117" s="6">
        <f t="shared" si="45"/>
        <v>0</v>
      </c>
    </row>
    <row r="118" spans="1:26" s="24" customFormat="1" hidden="1" outlineLevel="2" x14ac:dyDescent="0.25">
      <c r="A118" s="26"/>
      <c r="B118" s="11" t="str">
        <f>CONCATENATE("          ", "7741", " - ", "INV. SHRINKAGE-LOGO GIFTS")</f>
        <v xml:space="preserve">          7741 - INV. SHRINKAGE-LOGO GIFTS</v>
      </c>
      <c r="C118" s="11"/>
      <c r="D118" s="7"/>
      <c r="E118" s="2"/>
      <c r="F118" s="6">
        <f t="shared" si="38"/>
        <v>0</v>
      </c>
      <c r="G118" s="2"/>
      <c r="H118" s="7"/>
      <c r="I118" s="2"/>
      <c r="J118" s="6">
        <f t="shared" si="39"/>
        <v>0</v>
      </c>
      <c r="K118" s="2"/>
      <c r="L118" s="7">
        <f t="shared" si="40"/>
        <v>0</v>
      </c>
      <c r="M118" s="2"/>
      <c r="N118" s="6">
        <f t="shared" si="41"/>
        <v>0</v>
      </c>
      <c r="O118" s="11"/>
      <c r="P118" s="7">
        <v>0</v>
      </c>
      <c r="Q118" s="2"/>
      <c r="R118" s="6">
        <f t="shared" si="42"/>
        <v>0</v>
      </c>
      <c r="S118" s="2"/>
      <c r="T118" s="7"/>
      <c r="U118" s="2"/>
      <c r="V118" s="6">
        <f t="shared" si="43"/>
        <v>0</v>
      </c>
      <c r="W118" s="2"/>
      <c r="X118" s="7">
        <f t="shared" si="44"/>
        <v>0</v>
      </c>
      <c r="Y118" s="2"/>
      <c r="Z118" s="6">
        <f t="shared" si="45"/>
        <v>0</v>
      </c>
    </row>
    <row r="119" spans="1:26" s="25" customFormat="1" outlineLevel="1" collapsed="1" x14ac:dyDescent="0.25">
      <c r="A119" s="27"/>
      <c r="B119" s="13" t="str">
        <f>CONCATENATE("     ","Professional Services                             ")</f>
        <v xml:space="preserve">     Professional Services                             </v>
      </c>
      <c r="C119" s="13"/>
      <c r="D119" s="1">
        <f>SUM(OSRRefD22_10x_0)</f>
        <v>0</v>
      </c>
      <c r="E119" s="1"/>
      <c r="F119" s="5">
        <f t="shared" ref="F119:F126" si="46">IF(D$12=0,0,D119/D$12)</f>
        <v>0</v>
      </c>
      <c r="G119" s="1"/>
      <c r="H119" s="1">
        <f>SUM(OSRRefH22_10x_0)</f>
        <v>0</v>
      </c>
      <c r="I119" s="1"/>
      <c r="J119" s="5">
        <f t="shared" ref="J119:J126" si="47">IF(H$12=0,0,H119/H$12)</f>
        <v>0</v>
      </c>
      <c r="K119" s="1"/>
      <c r="L119" s="1">
        <f t="shared" ref="L119:L126" si="48">+D119-H119</f>
        <v>0</v>
      </c>
      <c r="M119" s="1"/>
      <c r="N119" s="5">
        <f t="shared" ref="N119:N126" si="49">IF(H119=0,0,L119/H119)</f>
        <v>0</v>
      </c>
      <c r="O119" s="13"/>
      <c r="P119" s="1">
        <f>SUM(OSRRefP22_10x_0)</f>
        <v>0</v>
      </c>
      <c r="Q119" s="1"/>
      <c r="R119" s="5">
        <f t="shared" ref="R119:R126" si="50">IF(P$12=0,0,P119/P$12)</f>
        <v>0</v>
      </c>
      <c r="S119" s="1"/>
      <c r="T119" s="1">
        <f>SUM(OSRRefT22_10x_0)</f>
        <v>5500</v>
      </c>
      <c r="U119" s="1"/>
      <c r="V119" s="5">
        <f t="shared" ref="V119:V126" si="51">IF(T$12=0,0,T119/T$12)</f>
        <v>2.209752077870056E-3</v>
      </c>
      <c r="W119" s="1"/>
      <c r="X119" s="1">
        <f t="shared" ref="X119:X126" si="52">+P119-T119</f>
        <v>-5500</v>
      </c>
      <c r="Y119" s="1"/>
      <c r="Z119" s="5">
        <f t="shared" ref="Z119:Z126" si="53">IF(T119=0,0,X119/T119)</f>
        <v>-1</v>
      </c>
    </row>
    <row r="120" spans="1:26" s="24" customFormat="1" hidden="1" outlineLevel="2" x14ac:dyDescent="0.25">
      <c r="A120" s="26"/>
      <c r="B120" s="11" t="str">
        <f>CONCATENATE("          ", "6336", " - ", "PROFESSIONAL SERVICES")</f>
        <v xml:space="preserve">          6336 - PROFESSIONAL SERVICES</v>
      </c>
      <c r="C120" s="11"/>
      <c r="D120" s="7"/>
      <c r="E120" s="2"/>
      <c r="F120" s="6">
        <f t="shared" si="46"/>
        <v>0</v>
      </c>
      <c r="G120" s="2"/>
      <c r="H120" s="7">
        <v>0</v>
      </c>
      <c r="I120" s="2"/>
      <c r="J120" s="6">
        <f t="shared" si="47"/>
        <v>0</v>
      </c>
      <c r="K120" s="2"/>
      <c r="L120" s="7">
        <f t="shared" si="48"/>
        <v>0</v>
      </c>
      <c r="M120" s="2"/>
      <c r="N120" s="6">
        <f t="shared" si="49"/>
        <v>0</v>
      </c>
      <c r="O120" s="11"/>
      <c r="P120" s="7"/>
      <c r="Q120" s="2"/>
      <c r="R120" s="6">
        <f t="shared" si="50"/>
        <v>0</v>
      </c>
      <c r="S120" s="2"/>
      <c r="T120" s="7">
        <v>5500</v>
      </c>
      <c r="U120" s="2"/>
      <c r="V120" s="6">
        <f t="shared" si="51"/>
        <v>2.209752077870056E-3</v>
      </c>
      <c r="W120" s="2"/>
      <c r="X120" s="7">
        <f t="shared" si="52"/>
        <v>-5500</v>
      </c>
      <c r="Y120" s="2"/>
      <c r="Z120" s="6">
        <f t="shared" si="53"/>
        <v>-1</v>
      </c>
    </row>
    <row r="121" spans="1:26" s="25" customFormat="1" outlineLevel="1" collapsed="1" x14ac:dyDescent="0.25">
      <c r="A121" s="27"/>
      <c r="B121" s="13" t="str">
        <f>CONCATENATE("     ","Repair and Maintenance                            ")</f>
        <v xml:space="preserve">     Repair and Maintenance                            </v>
      </c>
      <c r="C121" s="13"/>
      <c r="D121" s="1">
        <f>SUM(OSRRefD22_11x_0)</f>
        <v>0</v>
      </c>
      <c r="E121" s="1"/>
      <c r="F121" s="5">
        <f t="shared" si="46"/>
        <v>0</v>
      </c>
      <c r="G121" s="1"/>
      <c r="H121" s="1">
        <f>SUM(OSRRefH22_11x_0)</f>
        <v>100</v>
      </c>
      <c r="I121" s="1"/>
      <c r="J121" s="5">
        <f t="shared" si="47"/>
        <v>3.3334666720002135E-4</v>
      </c>
      <c r="K121" s="1"/>
      <c r="L121" s="1">
        <f t="shared" si="48"/>
        <v>-100</v>
      </c>
      <c r="M121" s="1"/>
      <c r="N121" s="5">
        <f t="shared" si="49"/>
        <v>-1</v>
      </c>
      <c r="O121" s="13"/>
      <c r="P121" s="1">
        <f>SUM(OSRRefP22_11x_0)</f>
        <v>0</v>
      </c>
      <c r="Q121" s="1"/>
      <c r="R121" s="5">
        <f t="shared" si="50"/>
        <v>0</v>
      </c>
      <c r="S121" s="1"/>
      <c r="T121" s="1">
        <f>SUM(OSRRefT22_11x_0)</f>
        <v>1250</v>
      </c>
      <c r="U121" s="1"/>
      <c r="V121" s="5">
        <f t="shared" si="51"/>
        <v>5.0221638133410372E-4</v>
      </c>
      <c r="W121" s="1"/>
      <c r="X121" s="1">
        <f t="shared" si="52"/>
        <v>-1250</v>
      </c>
      <c r="Y121" s="1"/>
      <c r="Z121" s="5">
        <f t="shared" si="53"/>
        <v>-1</v>
      </c>
    </row>
    <row r="122" spans="1:26" s="24" customFormat="1" hidden="1" outlineLevel="2" x14ac:dyDescent="0.25">
      <c r="A122" s="26"/>
      <c r="B122" s="11" t="str">
        <f>CONCATENATE("          ", "6375", " - ", "OUTSIDE REPAIRS &amp; MAINTENANCE")</f>
        <v xml:space="preserve">          6375 - OUTSIDE REPAIRS &amp; MAINTENANCE</v>
      </c>
      <c r="C122" s="11"/>
      <c r="D122" s="7"/>
      <c r="E122" s="2"/>
      <c r="F122" s="6">
        <f t="shared" si="46"/>
        <v>0</v>
      </c>
      <c r="G122" s="2"/>
      <c r="H122" s="7">
        <v>100</v>
      </c>
      <c r="I122" s="2"/>
      <c r="J122" s="6">
        <f t="shared" si="47"/>
        <v>3.3334666720002135E-4</v>
      </c>
      <c r="K122" s="2"/>
      <c r="L122" s="7">
        <f t="shared" si="48"/>
        <v>-100</v>
      </c>
      <c r="M122" s="2"/>
      <c r="N122" s="6">
        <f t="shared" si="49"/>
        <v>-1</v>
      </c>
      <c r="O122" s="11"/>
      <c r="P122" s="7"/>
      <c r="Q122" s="2"/>
      <c r="R122" s="6">
        <f t="shared" si="50"/>
        <v>0</v>
      </c>
      <c r="S122" s="2"/>
      <c r="T122" s="7">
        <v>1250</v>
      </c>
      <c r="U122" s="2"/>
      <c r="V122" s="6">
        <f t="shared" si="51"/>
        <v>5.0221638133410372E-4</v>
      </c>
      <c r="W122" s="2"/>
      <c r="X122" s="7">
        <f t="shared" si="52"/>
        <v>-1250</v>
      </c>
      <c r="Y122" s="2"/>
      <c r="Z122" s="6">
        <f t="shared" si="53"/>
        <v>-1</v>
      </c>
    </row>
    <row r="123" spans="1:26" s="25" customFormat="1" outlineLevel="1" collapsed="1" x14ac:dyDescent="0.25">
      <c r="A123" s="27"/>
      <c r="B123" s="13" t="str">
        <f>CONCATENATE("     ","Royalty &amp; Commissions                             ")</f>
        <v xml:space="preserve">     Royalty &amp; Commissions                             </v>
      </c>
      <c r="C123" s="13"/>
      <c r="D123" s="1">
        <f>SUM(OSRRefD22_12x_0)</f>
        <v>0</v>
      </c>
      <c r="E123" s="1"/>
      <c r="F123" s="5">
        <f t="shared" si="46"/>
        <v>0</v>
      </c>
      <c r="G123" s="1"/>
      <c r="H123" s="1">
        <f>SUM(OSRRefH22_12x_0)</f>
        <v>6271</v>
      </c>
      <c r="I123" s="1"/>
      <c r="J123" s="5">
        <f t="shared" si="47"/>
        <v>2.0904169500113336E-2</v>
      </c>
      <c r="K123" s="1"/>
      <c r="L123" s="1">
        <f t="shared" si="48"/>
        <v>-6271</v>
      </c>
      <c r="M123" s="1"/>
      <c r="N123" s="5">
        <f t="shared" si="49"/>
        <v>-1</v>
      </c>
      <c r="O123" s="13"/>
      <c r="P123" s="1">
        <f>SUM(OSRRefP22_12x_0)</f>
        <v>26197.58</v>
      </c>
      <c r="Q123" s="1"/>
      <c r="R123" s="5">
        <f t="shared" si="50"/>
        <v>2.0634596884620559E-2</v>
      </c>
      <c r="S123" s="1"/>
      <c r="T123" s="1">
        <f>SUM(OSRRefT22_12x_0)</f>
        <v>56439</v>
      </c>
      <c r="U123" s="1"/>
      <c r="V123" s="5">
        <f t="shared" si="51"/>
        <v>2.2675672276892381E-2</v>
      </c>
      <c r="W123" s="1"/>
      <c r="X123" s="1">
        <f t="shared" si="52"/>
        <v>-30241.42</v>
      </c>
      <c r="Y123" s="1"/>
      <c r="Z123" s="5">
        <f t="shared" si="53"/>
        <v>-0.53582487287159586</v>
      </c>
    </row>
    <row r="124" spans="1:26" s="24" customFormat="1" hidden="1" outlineLevel="2" x14ac:dyDescent="0.25">
      <c r="A124" s="26"/>
      <c r="B124" s="11" t="str">
        <f>CONCATENATE("          ", "6252", " - ", "ROYALTY DUE CSTV")</f>
        <v xml:space="preserve">          6252 - ROYALTY DUE CSTV</v>
      </c>
      <c r="C124" s="11"/>
      <c r="D124" s="7"/>
      <c r="E124" s="2"/>
      <c r="F124" s="6">
        <f t="shared" si="46"/>
        <v>0</v>
      </c>
      <c r="G124" s="2"/>
      <c r="H124" s="7">
        <v>1085</v>
      </c>
      <c r="I124" s="2"/>
      <c r="J124" s="6">
        <f t="shared" si="47"/>
        <v>3.6168113391202316E-3</v>
      </c>
      <c r="K124" s="2"/>
      <c r="L124" s="7">
        <f t="shared" si="48"/>
        <v>-1085</v>
      </c>
      <c r="M124" s="2"/>
      <c r="N124" s="6">
        <f t="shared" si="49"/>
        <v>-1</v>
      </c>
      <c r="O124" s="11"/>
      <c r="P124" s="7"/>
      <c r="Q124" s="2"/>
      <c r="R124" s="6">
        <f t="shared" si="50"/>
        <v>0</v>
      </c>
      <c r="S124" s="2"/>
      <c r="T124" s="7">
        <v>9765</v>
      </c>
      <c r="U124" s="2"/>
      <c r="V124" s="6">
        <f t="shared" si="51"/>
        <v>3.9233143709820175E-3</v>
      </c>
      <c r="W124" s="2"/>
      <c r="X124" s="7">
        <f t="shared" si="52"/>
        <v>-9765</v>
      </c>
      <c r="Y124" s="2"/>
      <c r="Z124" s="6">
        <f t="shared" si="53"/>
        <v>-1</v>
      </c>
    </row>
    <row r="125" spans="1:26" s="24" customFormat="1" hidden="1" outlineLevel="2" x14ac:dyDescent="0.25">
      <c r="A125" s="26"/>
      <c r="B125" s="11" t="str">
        <f>CONCATENATE("          ", "6253", " - ", "ROYALTY DUE ATHLETICS-LRG")</f>
        <v xml:space="preserve">          6253 - ROYALTY DUE ATHLETICS-LRG</v>
      </c>
      <c r="C125" s="11"/>
      <c r="D125" s="7"/>
      <c r="E125" s="2"/>
      <c r="F125" s="6">
        <f t="shared" si="46"/>
        <v>0</v>
      </c>
      <c r="G125" s="2"/>
      <c r="H125" s="7">
        <v>4037</v>
      </c>
      <c r="I125" s="2"/>
      <c r="J125" s="6">
        <f t="shared" si="47"/>
        <v>1.3457204954864861E-2</v>
      </c>
      <c r="K125" s="2"/>
      <c r="L125" s="7">
        <f t="shared" si="48"/>
        <v>-4037</v>
      </c>
      <c r="M125" s="2"/>
      <c r="N125" s="6">
        <f t="shared" si="49"/>
        <v>-1</v>
      </c>
      <c r="O125" s="11"/>
      <c r="P125" s="7">
        <v>26197.58</v>
      </c>
      <c r="Q125" s="2"/>
      <c r="R125" s="6">
        <f t="shared" si="50"/>
        <v>2.0634596884620559E-2</v>
      </c>
      <c r="S125" s="2"/>
      <c r="T125" s="7">
        <v>36333</v>
      </c>
      <c r="U125" s="2"/>
      <c r="V125" s="6">
        <f t="shared" si="51"/>
        <v>1.459762222640959E-2</v>
      </c>
      <c r="W125" s="2"/>
      <c r="X125" s="7">
        <f t="shared" si="52"/>
        <v>-10135.419999999998</v>
      </c>
      <c r="Y125" s="2"/>
      <c r="Z125" s="6">
        <f t="shared" si="53"/>
        <v>-0.27895907301901846</v>
      </c>
    </row>
    <row r="126" spans="1:26" s="24" customFormat="1" hidden="1" outlineLevel="2" x14ac:dyDescent="0.25">
      <c r="A126" s="26"/>
      <c r="B126" s="11" t="str">
        <f>CONCATENATE("          ", "6254", " - ", "ROYALTY &amp; COMMISSIONS")</f>
        <v xml:space="preserve">          6254 - ROYALTY &amp; COMMISSIONS</v>
      </c>
      <c r="C126" s="11"/>
      <c r="D126" s="7"/>
      <c r="E126" s="2"/>
      <c r="F126" s="6">
        <f t="shared" si="46"/>
        <v>0</v>
      </c>
      <c r="G126" s="2"/>
      <c r="H126" s="7">
        <v>1149</v>
      </c>
      <c r="I126" s="2"/>
      <c r="J126" s="6">
        <f t="shared" si="47"/>
        <v>3.8301532061282453E-3</v>
      </c>
      <c r="K126" s="2"/>
      <c r="L126" s="7">
        <f t="shared" si="48"/>
        <v>-1149</v>
      </c>
      <c r="M126" s="2"/>
      <c r="N126" s="6">
        <f t="shared" si="49"/>
        <v>-1</v>
      </c>
      <c r="O126" s="11"/>
      <c r="P126" s="7"/>
      <c r="Q126" s="2"/>
      <c r="R126" s="6">
        <f t="shared" si="50"/>
        <v>0</v>
      </c>
      <c r="S126" s="2"/>
      <c r="T126" s="7">
        <v>10341</v>
      </c>
      <c r="U126" s="2"/>
      <c r="V126" s="6">
        <f t="shared" si="51"/>
        <v>4.154735679500773E-3</v>
      </c>
      <c r="W126" s="2"/>
      <c r="X126" s="7">
        <f t="shared" si="52"/>
        <v>-10341</v>
      </c>
      <c r="Y126" s="2"/>
      <c r="Z126" s="6">
        <f t="shared" si="53"/>
        <v>-1</v>
      </c>
    </row>
    <row r="127" spans="1:26" s="25" customFormat="1" outlineLevel="1" collapsed="1" x14ac:dyDescent="0.25">
      <c r="A127" s="27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SUM(OSRRefD22_13x_0)</f>
        <v>0</v>
      </c>
      <c r="E127" s="1"/>
      <c r="F127" s="5">
        <f t="shared" ref="F127:F129" si="54">IF(D$12=0,0,D127/D$12)</f>
        <v>0</v>
      </c>
      <c r="G127" s="1"/>
      <c r="H127" s="1">
        <f>SUM(OSRRefH22_13x_0)</f>
        <v>0</v>
      </c>
      <c r="I127" s="1"/>
      <c r="J127" s="5">
        <f t="shared" ref="J127:J129" si="55">IF(H$12=0,0,H127/H$12)</f>
        <v>0</v>
      </c>
      <c r="K127" s="1"/>
      <c r="L127" s="1">
        <f t="shared" ref="L127:L129" si="56">+D127-H127</f>
        <v>0</v>
      </c>
      <c r="M127" s="1"/>
      <c r="N127" s="5">
        <f t="shared" ref="N127:N129" si="57">IF(H127=0,0,L127/H127)</f>
        <v>0</v>
      </c>
      <c r="O127" s="13"/>
      <c r="P127" s="1">
        <f>SUM(OSRRefP22_13x_0)</f>
        <v>-231.57</v>
      </c>
      <c r="Q127" s="1"/>
      <c r="R127" s="5">
        <f t="shared" ref="R127:R129" si="58">IF(P$12=0,0,P127/P$12)</f>
        <v>-1.8239675575269099E-4</v>
      </c>
      <c r="S127" s="1"/>
      <c r="T127" s="1">
        <f>SUM(OSRRefT22_13x_0)</f>
        <v>1000</v>
      </c>
      <c r="U127" s="1"/>
      <c r="V127" s="5">
        <f t="shared" ref="V127:V129" si="59">IF(T$12=0,0,T127/T$12)</f>
        <v>4.0177310506728291E-4</v>
      </c>
      <c r="W127" s="1"/>
      <c r="X127" s="1">
        <f t="shared" ref="X127:X129" si="60">+P127-T127</f>
        <v>-1231.57</v>
      </c>
      <c r="Y127" s="1"/>
      <c r="Z127" s="5">
        <f t="shared" ref="Z127:Z129" si="61">IF(T127=0,0,X127/T127)</f>
        <v>-1.2315699999999998</v>
      </c>
    </row>
    <row r="128" spans="1:26" s="24" customFormat="1" hidden="1" outlineLevel="2" x14ac:dyDescent="0.25">
      <c r="A128" s="26"/>
      <c r="B128" s="11" t="str">
        <f>CONCATENATE("          ", "6258", " - ", "MEMBERSHIP DUES")</f>
        <v xml:space="preserve">          6258 - MEMBERSHIP DUES</v>
      </c>
      <c r="C128" s="11"/>
      <c r="D128" s="7"/>
      <c r="E128" s="2"/>
      <c r="F128" s="6">
        <f t="shared" si="54"/>
        <v>0</v>
      </c>
      <c r="G128" s="2"/>
      <c r="H128" s="7">
        <v>0</v>
      </c>
      <c r="I128" s="2"/>
      <c r="J128" s="6">
        <f t="shared" si="55"/>
        <v>0</v>
      </c>
      <c r="K128" s="2"/>
      <c r="L128" s="7">
        <f t="shared" si="56"/>
        <v>0</v>
      </c>
      <c r="M128" s="2"/>
      <c r="N128" s="6">
        <f t="shared" si="57"/>
        <v>0</v>
      </c>
      <c r="O128" s="11"/>
      <c r="P128" s="7">
        <v>-307.3</v>
      </c>
      <c r="Q128" s="2"/>
      <c r="R128" s="6">
        <f t="shared" si="58"/>
        <v>-2.4204570126873924E-4</v>
      </c>
      <c r="S128" s="2"/>
      <c r="T128" s="7">
        <v>1000</v>
      </c>
      <c r="U128" s="2"/>
      <c r="V128" s="6">
        <f t="shared" si="59"/>
        <v>4.0177310506728291E-4</v>
      </c>
      <c r="W128" s="2"/>
      <c r="X128" s="7">
        <f t="shared" si="60"/>
        <v>-1307.3</v>
      </c>
      <c r="Y128" s="2"/>
      <c r="Z128" s="6">
        <f t="shared" si="61"/>
        <v>-1.3072999999999999</v>
      </c>
    </row>
    <row r="129" spans="1:26" s="24" customFormat="1" hidden="1" outlineLevel="2" x14ac:dyDescent="0.25">
      <c r="A129" s="26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54"/>
        <v>0</v>
      </c>
      <c r="G129" s="2"/>
      <c r="H129" s="7"/>
      <c r="I129" s="2"/>
      <c r="J129" s="6">
        <f t="shared" si="55"/>
        <v>0</v>
      </c>
      <c r="K129" s="2"/>
      <c r="L129" s="7">
        <f t="shared" si="56"/>
        <v>0</v>
      </c>
      <c r="M129" s="2"/>
      <c r="N129" s="6">
        <f t="shared" si="57"/>
        <v>0</v>
      </c>
      <c r="O129" s="11"/>
      <c r="P129" s="7">
        <v>75.73</v>
      </c>
      <c r="Q129" s="2"/>
      <c r="R129" s="6">
        <f t="shared" si="58"/>
        <v>5.964894551604823E-5</v>
      </c>
      <c r="S129" s="2"/>
      <c r="T129" s="7">
        <v>0</v>
      </c>
      <c r="U129" s="2"/>
      <c r="V129" s="6">
        <f t="shared" si="59"/>
        <v>0</v>
      </c>
      <c r="W129" s="2"/>
      <c r="X129" s="7">
        <f t="shared" si="60"/>
        <v>75.73</v>
      </c>
      <c r="Y129" s="2"/>
      <c r="Z129" s="6">
        <f t="shared" si="61"/>
        <v>0</v>
      </c>
    </row>
    <row r="130" spans="1:26" s="25" customFormat="1" outlineLevel="1" collapsed="1" x14ac:dyDescent="0.25">
      <c r="A130" s="27"/>
      <c r="B130" s="13" t="str">
        <f>CONCATENATE("     ","Supplies                                          ")</f>
        <v xml:space="preserve">     Supplies                                          </v>
      </c>
      <c r="C130" s="13"/>
      <c r="D130" s="1">
        <f>SUM(OSRRefD22_14x_0)</f>
        <v>266.36</v>
      </c>
      <c r="E130" s="1"/>
      <c r="F130" s="5">
        <f t="shared" ref="F130:F137" si="62">IF(D$12=0,0,D130/D$12)</f>
        <v>1.8665048225632659E-3</v>
      </c>
      <c r="G130" s="1"/>
      <c r="H130" s="1">
        <f>SUM(OSRRefH22_14x_0)</f>
        <v>450</v>
      </c>
      <c r="I130" s="1"/>
      <c r="J130" s="5">
        <f t="shared" ref="J130:J137" si="63">IF(H$12=0,0,H130/H$12)</f>
        <v>1.5000600024000961E-3</v>
      </c>
      <c r="K130" s="1"/>
      <c r="L130" s="1">
        <f t="shared" ref="L130:L137" si="64">+D130-H130</f>
        <v>-183.64</v>
      </c>
      <c r="M130" s="1"/>
      <c r="N130" s="5">
        <f t="shared" ref="N130:N137" si="65">IF(H130=0,0,L130/H130)</f>
        <v>-0.40808888888888883</v>
      </c>
      <c r="O130" s="13"/>
      <c r="P130" s="1">
        <f>SUM(OSRRefP22_14x_0)</f>
        <v>3629.97</v>
      </c>
      <c r="Q130" s="1"/>
      <c r="R130" s="5">
        <f t="shared" ref="R130:R137" si="66">IF(P$12=0,0,P130/P$12)</f>
        <v>2.8591559851431345E-3</v>
      </c>
      <c r="S130" s="1"/>
      <c r="T130" s="1">
        <f>SUM(OSRRefT22_14x_0)</f>
        <v>4050</v>
      </c>
      <c r="U130" s="1"/>
      <c r="V130" s="5">
        <f t="shared" ref="V130:V137" si="67">IF(T$12=0,0,T130/T$12)</f>
        <v>1.6271810755224959E-3</v>
      </c>
      <c r="W130" s="1"/>
      <c r="X130" s="1">
        <f t="shared" ref="X130:X137" si="68">+P130-T130</f>
        <v>-420.0300000000002</v>
      </c>
      <c r="Y130" s="1"/>
      <c r="Z130" s="5">
        <f t="shared" ref="Z130:Z137" si="69">IF(T130=0,0,X130/T130)</f>
        <v>-0.10371111111111116</v>
      </c>
    </row>
    <row r="131" spans="1:26" s="24" customFormat="1" hidden="1" outlineLevel="2" x14ac:dyDescent="0.25">
      <c r="A131" s="26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/>
      <c r="E131" s="2"/>
      <c r="F131" s="6">
        <f t="shared" si="62"/>
        <v>0</v>
      </c>
      <c r="G131" s="2"/>
      <c r="H131" s="7">
        <v>50</v>
      </c>
      <c r="I131" s="2"/>
      <c r="J131" s="6">
        <f t="shared" si="63"/>
        <v>1.6667333360001067E-4</v>
      </c>
      <c r="K131" s="2"/>
      <c r="L131" s="7">
        <f t="shared" si="64"/>
        <v>-50</v>
      </c>
      <c r="M131" s="2"/>
      <c r="N131" s="6">
        <f t="shared" si="65"/>
        <v>-1</v>
      </c>
      <c r="O131" s="11"/>
      <c r="P131" s="7">
        <v>396.5</v>
      </c>
      <c r="Q131" s="2"/>
      <c r="R131" s="6">
        <f t="shared" si="66"/>
        <v>3.1230432981794694E-4</v>
      </c>
      <c r="S131" s="2"/>
      <c r="T131" s="7">
        <v>450</v>
      </c>
      <c r="U131" s="2"/>
      <c r="V131" s="6">
        <f t="shared" si="67"/>
        <v>1.8079789728027732E-4</v>
      </c>
      <c r="W131" s="2"/>
      <c r="X131" s="7">
        <f t="shared" si="68"/>
        <v>-53.5</v>
      </c>
      <c r="Y131" s="2"/>
      <c r="Z131" s="6">
        <f t="shared" si="69"/>
        <v>-0.11888888888888889</v>
      </c>
    </row>
    <row r="132" spans="1:26" s="24" customFormat="1" hidden="1" outlineLevel="2" x14ac:dyDescent="0.25">
      <c r="A132" s="26"/>
      <c r="B132" s="11" t="str">
        <f>CONCATENATE("          ", "6235", " - ", "COVID-19 EXPENSES")</f>
        <v xml:space="preserve">          6235 - COVID-19 EXPENSES</v>
      </c>
      <c r="C132" s="11"/>
      <c r="D132" s="7"/>
      <c r="E132" s="2"/>
      <c r="F132" s="6">
        <f t="shared" si="62"/>
        <v>0</v>
      </c>
      <c r="G132" s="2"/>
      <c r="H132" s="7">
        <v>100</v>
      </c>
      <c r="I132" s="2"/>
      <c r="J132" s="6">
        <f t="shared" si="63"/>
        <v>3.3334666720002135E-4</v>
      </c>
      <c r="K132" s="2"/>
      <c r="L132" s="7">
        <f t="shared" si="64"/>
        <v>-100</v>
      </c>
      <c r="M132" s="2"/>
      <c r="N132" s="6">
        <f t="shared" si="65"/>
        <v>-1</v>
      </c>
      <c r="O132" s="11"/>
      <c r="P132" s="7">
        <v>1026.43</v>
      </c>
      <c r="Q132" s="2"/>
      <c r="R132" s="6">
        <f t="shared" si="66"/>
        <v>8.0847044957133745E-4</v>
      </c>
      <c r="S132" s="2"/>
      <c r="T132" s="7">
        <v>900</v>
      </c>
      <c r="U132" s="2"/>
      <c r="V132" s="6">
        <f t="shared" si="67"/>
        <v>3.6159579456055465E-4</v>
      </c>
      <c r="W132" s="2"/>
      <c r="X132" s="7">
        <f t="shared" si="68"/>
        <v>126.43000000000006</v>
      </c>
      <c r="Y132" s="2"/>
      <c r="Z132" s="6">
        <f t="shared" si="69"/>
        <v>0.14047777777777784</v>
      </c>
    </row>
    <row r="133" spans="1:26" s="24" customFormat="1" hidden="1" outlineLevel="2" x14ac:dyDescent="0.25">
      <c r="A133" s="26"/>
      <c r="B133" s="11" t="str">
        <f>CONCATENATE("          ", "6237", " - ", "JANITORIAL SUPPLIES")</f>
        <v xml:space="preserve">          6237 - JANITORIAL SUPPLIES</v>
      </c>
      <c r="C133" s="11"/>
      <c r="D133" s="7"/>
      <c r="E133" s="2"/>
      <c r="F133" s="6">
        <f t="shared" si="62"/>
        <v>0</v>
      </c>
      <c r="G133" s="2"/>
      <c r="H133" s="7">
        <v>50</v>
      </c>
      <c r="I133" s="2"/>
      <c r="J133" s="6">
        <f t="shared" si="63"/>
        <v>1.6667333360001067E-4</v>
      </c>
      <c r="K133" s="2"/>
      <c r="L133" s="7">
        <f t="shared" si="64"/>
        <v>-50</v>
      </c>
      <c r="M133" s="2"/>
      <c r="N133" s="6">
        <f t="shared" si="65"/>
        <v>-1</v>
      </c>
      <c r="O133" s="11"/>
      <c r="P133" s="7"/>
      <c r="Q133" s="2"/>
      <c r="R133" s="6">
        <f t="shared" si="66"/>
        <v>0</v>
      </c>
      <c r="S133" s="2"/>
      <c r="T133" s="7">
        <v>450</v>
      </c>
      <c r="U133" s="2"/>
      <c r="V133" s="6">
        <f t="shared" si="67"/>
        <v>1.8079789728027732E-4</v>
      </c>
      <c r="W133" s="2"/>
      <c r="X133" s="7">
        <f t="shared" si="68"/>
        <v>-450</v>
      </c>
      <c r="Y133" s="2"/>
      <c r="Z133" s="6">
        <f t="shared" si="69"/>
        <v>-1</v>
      </c>
    </row>
    <row r="134" spans="1:26" s="24" customFormat="1" hidden="1" outlineLevel="2" x14ac:dyDescent="0.25">
      <c r="A134" s="26"/>
      <c r="B134" s="11" t="str">
        <f>CONCATENATE("          ", "6241", " - ", "OFFICE EXPENSE")</f>
        <v xml:space="preserve">          6241 - OFFICE EXPENSE</v>
      </c>
      <c r="C134" s="11"/>
      <c r="D134" s="7">
        <v>266.36</v>
      </c>
      <c r="E134" s="2"/>
      <c r="F134" s="6">
        <f t="shared" si="62"/>
        <v>1.8665048225632659E-3</v>
      </c>
      <c r="G134" s="2"/>
      <c r="H134" s="7">
        <v>100</v>
      </c>
      <c r="I134" s="2"/>
      <c r="J134" s="6">
        <f t="shared" si="63"/>
        <v>3.3334666720002135E-4</v>
      </c>
      <c r="K134" s="2"/>
      <c r="L134" s="7">
        <f t="shared" si="64"/>
        <v>166.36</v>
      </c>
      <c r="M134" s="2"/>
      <c r="N134" s="6">
        <f t="shared" si="65"/>
        <v>1.6636000000000002</v>
      </c>
      <c r="O134" s="11"/>
      <c r="P134" s="7">
        <v>1096.81</v>
      </c>
      <c r="Q134" s="2"/>
      <c r="R134" s="6">
        <f t="shared" si="66"/>
        <v>8.6390545268000599E-4</v>
      </c>
      <c r="S134" s="2"/>
      <c r="T134" s="7">
        <v>900</v>
      </c>
      <c r="U134" s="2"/>
      <c r="V134" s="6">
        <f t="shared" si="67"/>
        <v>3.6159579456055465E-4</v>
      </c>
      <c r="W134" s="2"/>
      <c r="X134" s="7">
        <f t="shared" si="68"/>
        <v>196.80999999999995</v>
      </c>
      <c r="Y134" s="2"/>
      <c r="Z134" s="6">
        <f t="shared" si="69"/>
        <v>0.21867777777777772</v>
      </c>
    </row>
    <row r="135" spans="1:26" s="24" customFormat="1" hidden="1" outlineLevel="2" x14ac:dyDescent="0.25">
      <c r="A135" s="26"/>
      <c r="B135" s="11" t="str">
        <f>CONCATENATE("          ", "6243", " - ", "PAPER SUPPLIES")</f>
        <v xml:space="preserve">          6243 - PAPER SUPPLIES</v>
      </c>
      <c r="C135" s="11"/>
      <c r="D135" s="7"/>
      <c r="E135" s="2"/>
      <c r="F135" s="6">
        <f t="shared" si="62"/>
        <v>0</v>
      </c>
      <c r="G135" s="2"/>
      <c r="H135" s="7">
        <v>50</v>
      </c>
      <c r="I135" s="2"/>
      <c r="J135" s="6">
        <f t="shared" si="63"/>
        <v>1.6667333360001067E-4</v>
      </c>
      <c r="K135" s="2"/>
      <c r="L135" s="7">
        <f t="shared" si="64"/>
        <v>-50</v>
      </c>
      <c r="M135" s="2"/>
      <c r="N135" s="6">
        <f t="shared" si="65"/>
        <v>-1</v>
      </c>
      <c r="O135" s="11"/>
      <c r="P135" s="7"/>
      <c r="Q135" s="2"/>
      <c r="R135" s="6">
        <f t="shared" si="66"/>
        <v>0</v>
      </c>
      <c r="S135" s="2"/>
      <c r="T135" s="7">
        <v>450</v>
      </c>
      <c r="U135" s="2"/>
      <c r="V135" s="6">
        <f t="shared" si="67"/>
        <v>1.8079789728027732E-4</v>
      </c>
      <c r="W135" s="2"/>
      <c r="X135" s="7">
        <f t="shared" si="68"/>
        <v>-450</v>
      </c>
      <c r="Y135" s="2"/>
      <c r="Z135" s="6">
        <f t="shared" si="69"/>
        <v>-1</v>
      </c>
    </row>
    <row r="136" spans="1:26" s="24" customFormat="1" hidden="1" outlineLevel="2" x14ac:dyDescent="0.25">
      <c r="A136" s="26"/>
      <c r="B136" s="11" t="str">
        <f>CONCATENATE("          ", "6245", " - ", "PRINTING")</f>
        <v xml:space="preserve">          6245 - PRINTING</v>
      </c>
      <c r="C136" s="11"/>
      <c r="D136" s="7"/>
      <c r="E136" s="2"/>
      <c r="F136" s="6">
        <f t="shared" si="62"/>
        <v>0</v>
      </c>
      <c r="G136" s="2"/>
      <c r="H136" s="7">
        <v>50</v>
      </c>
      <c r="I136" s="2"/>
      <c r="J136" s="6">
        <f t="shared" si="63"/>
        <v>1.6667333360001067E-4</v>
      </c>
      <c r="K136" s="2"/>
      <c r="L136" s="7">
        <f t="shared" si="64"/>
        <v>-50</v>
      </c>
      <c r="M136" s="2"/>
      <c r="N136" s="6">
        <f t="shared" si="65"/>
        <v>-1</v>
      </c>
      <c r="O136" s="11"/>
      <c r="P136" s="7"/>
      <c r="Q136" s="2"/>
      <c r="R136" s="6">
        <f t="shared" si="66"/>
        <v>0</v>
      </c>
      <c r="S136" s="2"/>
      <c r="T136" s="7">
        <v>450</v>
      </c>
      <c r="U136" s="2"/>
      <c r="V136" s="6">
        <f t="shared" si="67"/>
        <v>1.8079789728027732E-4</v>
      </c>
      <c r="W136" s="2"/>
      <c r="X136" s="7">
        <f t="shared" si="68"/>
        <v>-450</v>
      </c>
      <c r="Y136" s="2"/>
      <c r="Z136" s="6">
        <f t="shared" si="69"/>
        <v>-1</v>
      </c>
    </row>
    <row r="137" spans="1:26" s="24" customFormat="1" hidden="1" outlineLevel="2" x14ac:dyDescent="0.25">
      <c r="A137" s="26"/>
      <c r="B137" s="11" t="str">
        <f>CONCATENATE("          ", "6247", " - ", "STORE SUPPLIES")</f>
        <v xml:space="preserve">          6247 - STORE SUPPLIES</v>
      </c>
      <c r="C137" s="11"/>
      <c r="D137" s="7"/>
      <c r="E137" s="2"/>
      <c r="F137" s="6">
        <f t="shared" si="62"/>
        <v>0</v>
      </c>
      <c r="G137" s="2"/>
      <c r="H137" s="7">
        <v>50</v>
      </c>
      <c r="I137" s="2"/>
      <c r="J137" s="6">
        <f t="shared" si="63"/>
        <v>1.6667333360001067E-4</v>
      </c>
      <c r="K137" s="2"/>
      <c r="L137" s="7">
        <f t="shared" si="64"/>
        <v>-50</v>
      </c>
      <c r="M137" s="2"/>
      <c r="N137" s="6">
        <f t="shared" si="65"/>
        <v>-1</v>
      </c>
      <c r="O137" s="11"/>
      <c r="P137" s="7">
        <v>1110.23</v>
      </c>
      <c r="Q137" s="2"/>
      <c r="R137" s="6">
        <f t="shared" si="66"/>
        <v>8.7447575307384427E-4</v>
      </c>
      <c r="S137" s="2"/>
      <c r="T137" s="7">
        <v>450</v>
      </c>
      <c r="U137" s="2"/>
      <c r="V137" s="6">
        <f t="shared" si="67"/>
        <v>1.8079789728027732E-4</v>
      </c>
      <c r="W137" s="2"/>
      <c r="X137" s="7">
        <f t="shared" si="68"/>
        <v>660.23</v>
      </c>
      <c r="Y137" s="2"/>
      <c r="Z137" s="6">
        <f t="shared" si="69"/>
        <v>1.4671777777777779</v>
      </c>
    </row>
    <row r="138" spans="1:26" s="25" customFormat="1" outlineLevel="1" collapsed="1" x14ac:dyDescent="0.25">
      <c r="A138" s="27"/>
      <c r="B138" s="13" t="str">
        <f>CONCATENATE("     ","Telephone/Data Lines                              ")</f>
        <v xml:space="preserve">     Telephone/Data Lines                              </v>
      </c>
      <c r="C138" s="13"/>
      <c r="D138" s="1">
        <f>SUM(OSRRefD22_15x_0)</f>
        <v>95.75</v>
      </c>
      <c r="E138" s="1"/>
      <c r="F138" s="5">
        <f t="shared" ref="F138:F144" si="70">IF(D$12=0,0,D138/D$12)</f>
        <v>6.7096349587187525E-4</v>
      </c>
      <c r="G138" s="1"/>
      <c r="H138" s="1">
        <f>SUM(OSRRefH22_15x_0)</f>
        <v>600</v>
      </c>
      <c r="I138" s="1"/>
      <c r="J138" s="5">
        <f t="shared" ref="J138:J144" si="71">IF(H$12=0,0,H138/H$12)</f>
        <v>2.0000800032001281E-3</v>
      </c>
      <c r="K138" s="1"/>
      <c r="L138" s="1">
        <f t="shared" ref="L138:L144" si="72">+D138-H138</f>
        <v>-504.25</v>
      </c>
      <c r="M138" s="1"/>
      <c r="N138" s="5">
        <f t="shared" ref="N138:N144" si="73">IF(H138=0,0,L138/H138)</f>
        <v>-0.8404166666666667</v>
      </c>
      <c r="O138" s="13"/>
      <c r="P138" s="1">
        <f>SUM(OSRRefP22_15x_0)</f>
        <v>2869.94</v>
      </c>
      <c r="Q138" s="1"/>
      <c r="R138" s="5">
        <f t="shared" ref="R138:R144" si="74">IF(P$12=0,0,P138/P$12)</f>
        <v>2.2605162378757093E-3</v>
      </c>
      <c r="S138" s="1"/>
      <c r="T138" s="1">
        <f>SUM(OSRRefT22_15x_0)</f>
        <v>5400</v>
      </c>
      <c r="U138" s="1"/>
      <c r="V138" s="5">
        <f t="shared" ref="V138:V144" si="75">IF(T$12=0,0,T138/T$12)</f>
        <v>2.1695747673633279E-3</v>
      </c>
      <c r="W138" s="1"/>
      <c r="X138" s="1">
        <f t="shared" ref="X138:X144" si="76">+P138-T138</f>
        <v>-2530.06</v>
      </c>
      <c r="Y138" s="1"/>
      <c r="Z138" s="5">
        <f t="shared" ref="Z138:Z144" si="77">IF(T138=0,0,X138/T138)</f>
        <v>-0.46852962962962963</v>
      </c>
    </row>
    <row r="139" spans="1:26" s="24" customFormat="1" hidden="1" outlineLevel="2" x14ac:dyDescent="0.25">
      <c r="A139" s="26"/>
      <c r="B139" s="11" t="str">
        <f>CONCATENATE("          ", "6309", " - ", "TELEPHONE")</f>
        <v xml:space="preserve">          6309 - TELEPHONE</v>
      </c>
      <c r="C139" s="11"/>
      <c r="D139" s="7">
        <v>95.75</v>
      </c>
      <c r="E139" s="2"/>
      <c r="F139" s="6">
        <f t="shared" si="70"/>
        <v>6.7096349587187525E-4</v>
      </c>
      <c r="G139" s="2"/>
      <c r="H139" s="7">
        <v>600</v>
      </c>
      <c r="I139" s="2"/>
      <c r="J139" s="6">
        <f t="shared" si="71"/>
        <v>2.0000800032001281E-3</v>
      </c>
      <c r="K139" s="2"/>
      <c r="L139" s="7">
        <f t="shared" si="72"/>
        <v>-504.25</v>
      </c>
      <c r="M139" s="2"/>
      <c r="N139" s="6">
        <f t="shared" si="73"/>
        <v>-0.8404166666666667</v>
      </c>
      <c r="O139" s="11"/>
      <c r="P139" s="7">
        <v>2869.94</v>
      </c>
      <c r="Q139" s="2"/>
      <c r="R139" s="6">
        <f t="shared" si="74"/>
        <v>2.2605162378757093E-3</v>
      </c>
      <c r="S139" s="2"/>
      <c r="T139" s="7">
        <v>5400</v>
      </c>
      <c r="U139" s="2"/>
      <c r="V139" s="6">
        <f t="shared" si="75"/>
        <v>2.1695747673633279E-3</v>
      </c>
      <c r="W139" s="2"/>
      <c r="X139" s="7">
        <f t="shared" si="76"/>
        <v>-2530.06</v>
      </c>
      <c r="Y139" s="2"/>
      <c r="Z139" s="6">
        <f t="shared" si="77"/>
        <v>-0.46852962962962963</v>
      </c>
    </row>
    <row r="140" spans="1:26" s="25" customFormat="1" outlineLevel="1" collapsed="1" x14ac:dyDescent="0.25">
      <c r="A140" s="27"/>
      <c r="B140" s="13" t="str">
        <f>CONCATENATE("     ","Training                                          ")</f>
        <v xml:space="preserve">     Training                                          </v>
      </c>
      <c r="C140" s="13"/>
      <c r="D140" s="1">
        <f>SUM(OSRRefD22_16x_0)</f>
        <v>0</v>
      </c>
      <c r="E140" s="1"/>
      <c r="F140" s="5">
        <f t="shared" si="70"/>
        <v>0</v>
      </c>
      <c r="G140" s="1"/>
      <c r="H140" s="1">
        <f>SUM(OSRRefH22_16x_0)</f>
        <v>0</v>
      </c>
      <c r="I140" s="1"/>
      <c r="J140" s="5">
        <f t="shared" si="71"/>
        <v>0</v>
      </c>
      <c r="K140" s="1"/>
      <c r="L140" s="1">
        <f t="shared" si="72"/>
        <v>0</v>
      </c>
      <c r="M140" s="1"/>
      <c r="N140" s="5">
        <f t="shared" si="73"/>
        <v>0</v>
      </c>
      <c r="O140" s="13"/>
      <c r="P140" s="1">
        <f>SUM(OSRRefP22_16x_0)</f>
        <v>0</v>
      </c>
      <c r="Q140" s="1"/>
      <c r="R140" s="5">
        <f t="shared" si="74"/>
        <v>0</v>
      </c>
      <c r="S140" s="1"/>
      <c r="T140" s="1">
        <f>SUM(OSRRefT22_16x_0)</f>
        <v>3600</v>
      </c>
      <c r="U140" s="1"/>
      <c r="V140" s="5">
        <f t="shared" si="75"/>
        <v>1.4463831782422186E-3</v>
      </c>
      <c r="W140" s="1"/>
      <c r="X140" s="1">
        <f t="shared" si="76"/>
        <v>-3600</v>
      </c>
      <c r="Y140" s="1"/>
      <c r="Z140" s="5">
        <f t="shared" si="77"/>
        <v>-1</v>
      </c>
    </row>
    <row r="141" spans="1:26" s="24" customFormat="1" hidden="1" outlineLevel="2" x14ac:dyDescent="0.25">
      <c r="A141" s="26"/>
      <c r="B141" s="11" t="str">
        <f>CONCATENATE("          ", "6376", " - ", "TRAINING")</f>
        <v xml:space="preserve">          6376 - TRAINING</v>
      </c>
      <c r="C141" s="11"/>
      <c r="D141" s="7"/>
      <c r="E141" s="2"/>
      <c r="F141" s="6">
        <f t="shared" si="70"/>
        <v>0</v>
      </c>
      <c r="G141" s="2"/>
      <c r="H141" s="7"/>
      <c r="I141" s="2"/>
      <c r="J141" s="6">
        <f t="shared" si="71"/>
        <v>0</v>
      </c>
      <c r="K141" s="2"/>
      <c r="L141" s="7">
        <f t="shared" si="72"/>
        <v>0</v>
      </c>
      <c r="M141" s="2"/>
      <c r="N141" s="6">
        <f t="shared" si="73"/>
        <v>0</v>
      </c>
      <c r="O141" s="11"/>
      <c r="P141" s="7"/>
      <c r="Q141" s="2"/>
      <c r="R141" s="6">
        <f t="shared" si="74"/>
        <v>0</v>
      </c>
      <c r="S141" s="2"/>
      <c r="T141" s="7">
        <v>3600</v>
      </c>
      <c r="U141" s="2"/>
      <c r="V141" s="6">
        <f t="shared" si="75"/>
        <v>1.4463831782422186E-3</v>
      </c>
      <c r="W141" s="2"/>
      <c r="X141" s="7">
        <f t="shared" si="76"/>
        <v>-3600</v>
      </c>
      <c r="Y141" s="2"/>
      <c r="Z141" s="6">
        <f t="shared" si="77"/>
        <v>-1</v>
      </c>
    </row>
    <row r="142" spans="1:26" s="25" customFormat="1" outlineLevel="1" collapsed="1" x14ac:dyDescent="0.25">
      <c r="A142" s="27"/>
      <c r="B142" s="13" t="str">
        <f>CONCATENATE("     ","Travel                                            ")</f>
        <v xml:space="preserve">     Travel                                            </v>
      </c>
      <c r="C142" s="13"/>
      <c r="D142" s="1">
        <f>SUM(OSRRefD22_17x_0)</f>
        <v>0</v>
      </c>
      <c r="E142" s="1"/>
      <c r="F142" s="5">
        <f t="shared" si="70"/>
        <v>0</v>
      </c>
      <c r="G142" s="1"/>
      <c r="H142" s="1">
        <f>SUM(OSRRefH22_17x_0)</f>
        <v>25</v>
      </c>
      <c r="I142" s="1"/>
      <c r="J142" s="5">
        <f t="shared" si="71"/>
        <v>8.3336666800005337E-5</v>
      </c>
      <c r="K142" s="1"/>
      <c r="L142" s="1">
        <f t="shared" si="72"/>
        <v>-25</v>
      </c>
      <c r="M142" s="1"/>
      <c r="N142" s="5">
        <f t="shared" si="73"/>
        <v>-1</v>
      </c>
      <c r="O142" s="13"/>
      <c r="P142" s="1">
        <f>SUM(OSRRefP22_17x_0)</f>
        <v>69.92</v>
      </c>
      <c r="Q142" s="1"/>
      <c r="R142" s="5">
        <f t="shared" si="74"/>
        <v>5.5072682826912611E-5</v>
      </c>
      <c r="S142" s="1"/>
      <c r="T142" s="1">
        <f>SUM(OSRRefT22_17x_0)</f>
        <v>225</v>
      </c>
      <c r="U142" s="1"/>
      <c r="V142" s="5">
        <f t="shared" si="75"/>
        <v>9.0398948640138662E-5</v>
      </c>
      <c r="W142" s="1"/>
      <c r="X142" s="1">
        <f t="shared" si="76"/>
        <v>-155.07999999999998</v>
      </c>
      <c r="Y142" s="1"/>
      <c r="Z142" s="5">
        <f t="shared" si="77"/>
        <v>-0.68924444444444433</v>
      </c>
    </row>
    <row r="143" spans="1:26" s="24" customFormat="1" hidden="1" outlineLevel="2" x14ac:dyDescent="0.25">
      <c r="A143" s="26"/>
      <c r="B143" s="11" t="str">
        <f>CONCATENATE("          ", "6294", " - ", "TRAVEL OPERATIONAL")</f>
        <v xml:space="preserve">          6294 - TRAVEL OPERATIONAL</v>
      </c>
      <c r="C143" s="11"/>
      <c r="D143" s="7"/>
      <c r="E143" s="2"/>
      <c r="F143" s="6">
        <f t="shared" si="70"/>
        <v>0</v>
      </c>
      <c r="G143" s="2"/>
      <c r="H143" s="7">
        <v>25</v>
      </c>
      <c r="I143" s="2"/>
      <c r="J143" s="6">
        <f t="shared" si="71"/>
        <v>8.3336666800005337E-5</v>
      </c>
      <c r="K143" s="2"/>
      <c r="L143" s="7">
        <f t="shared" si="72"/>
        <v>-25</v>
      </c>
      <c r="M143" s="2"/>
      <c r="N143" s="6">
        <f t="shared" si="73"/>
        <v>-1</v>
      </c>
      <c r="O143" s="11"/>
      <c r="P143" s="7">
        <v>69.92</v>
      </c>
      <c r="Q143" s="2"/>
      <c r="R143" s="6">
        <f t="shared" si="74"/>
        <v>5.5072682826912611E-5</v>
      </c>
      <c r="S143" s="2"/>
      <c r="T143" s="7">
        <v>225</v>
      </c>
      <c r="U143" s="2"/>
      <c r="V143" s="6">
        <f t="shared" si="75"/>
        <v>9.0398948640138662E-5</v>
      </c>
      <c r="W143" s="2"/>
      <c r="X143" s="7">
        <f t="shared" si="76"/>
        <v>-155.07999999999998</v>
      </c>
      <c r="Y143" s="2"/>
      <c r="Z143" s="6">
        <f t="shared" si="77"/>
        <v>-0.68924444444444433</v>
      </c>
    </row>
    <row r="144" spans="1:26" s="24" customFormat="1" hidden="1" outlineLevel="2" x14ac:dyDescent="0.25">
      <c r="A144" s="26"/>
      <c r="B144" s="11" t="str">
        <f>CONCATENATE("          ", "6298", " - ", "VEHICLE MILEAGE")</f>
        <v xml:space="preserve">          6298 - VEHICLE MILEAGE</v>
      </c>
      <c r="C144" s="11"/>
      <c r="D144" s="7"/>
      <c r="E144" s="2"/>
      <c r="F144" s="6">
        <f t="shared" si="70"/>
        <v>0</v>
      </c>
      <c r="G144" s="2"/>
      <c r="H144" s="7">
        <v>0</v>
      </c>
      <c r="I144" s="2"/>
      <c r="J144" s="6">
        <f t="shared" si="71"/>
        <v>0</v>
      </c>
      <c r="K144" s="2"/>
      <c r="L144" s="7">
        <f t="shared" si="72"/>
        <v>0</v>
      </c>
      <c r="M144" s="2"/>
      <c r="N144" s="6">
        <f t="shared" si="73"/>
        <v>0</v>
      </c>
      <c r="O144" s="11"/>
      <c r="P144" s="7"/>
      <c r="Q144" s="2"/>
      <c r="R144" s="6">
        <f t="shared" si="74"/>
        <v>0</v>
      </c>
      <c r="S144" s="2"/>
      <c r="T144" s="7">
        <v>0</v>
      </c>
      <c r="U144" s="2"/>
      <c r="V144" s="6">
        <f t="shared" si="75"/>
        <v>0</v>
      </c>
      <c r="W144" s="2"/>
      <c r="X144" s="7">
        <f t="shared" si="76"/>
        <v>0</v>
      </c>
      <c r="Y144" s="2"/>
      <c r="Z144" s="6">
        <f t="shared" si="77"/>
        <v>0</v>
      </c>
    </row>
    <row r="145" spans="1:26" s="59" customFormat="1" x14ac:dyDescent="0.25">
      <c r="A145" s="36"/>
      <c r="B145" s="36"/>
      <c r="C145" s="36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collapsed="1" x14ac:dyDescent="0.25">
      <c r="A146" s="10"/>
      <c r="B146" s="28" t="s">
        <v>293</v>
      </c>
      <c r="C146" s="10"/>
      <c r="D146" s="4">
        <f>SUM(OSRRefD25x_0)</f>
        <v>175014.7</v>
      </c>
      <c r="E146" s="4"/>
      <c r="F146" s="12">
        <f t="shared" ref="F146:F149" si="78">IF(D$12=0,0,D146/D$12)</f>
        <v>1.2264070489918277</v>
      </c>
      <c r="G146" s="4"/>
      <c r="H146" s="4">
        <f>SUM(OSRRefH25x_0)</f>
        <v>181695</v>
      </c>
      <c r="I146" s="4"/>
      <c r="J146" s="12">
        <f t="shared" ref="J146:J149" si="79">IF(H$12=0,0,H146/H$12)</f>
        <v>0.6056742269690788</v>
      </c>
      <c r="K146" s="4"/>
      <c r="L146" s="4">
        <f t="shared" ref="L146:L149" si="80">+D146-H146</f>
        <v>-6680.2999999999884</v>
      </c>
      <c r="M146" s="4"/>
      <c r="N146" s="12">
        <f t="shared" ref="N146:N149" si="81">IF(H146=0,0,L146/H146)</f>
        <v>-3.6766559343955466E-2</v>
      </c>
      <c r="O146" s="10"/>
      <c r="P146" s="4">
        <f>SUM(OSRRefP25x_0)</f>
        <v>392807.77</v>
      </c>
      <c r="Q146" s="4"/>
      <c r="R146" s="12">
        <f t="shared" ref="R146:R149" si="82">IF(P$12=0,0,P146/P$12)</f>
        <v>0.30939613457032095</v>
      </c>
      <c r="S146" s="4"/>
      <c r="T146" s="4">
        <f>SUM(OSRRefT25x_0)</f>
        <v>419915</v>
      </c>
      <c r="U146" s="4"/>
      <c r="V146" s="12">
        <f t="shared" ref="V146:V149" si="83">IF(T$12=0,0,T146/T$12)</f>
        <v>0.16871055341432811</v>
      </c>
      <c r="W146" s="4"/>
      <c r="X146" s="4">
        <f t="shared" ref="X146:X149" si="84">+P146-T146</f>
        <v>-27107.229999999981</v>
      </c>
      <c r="Y146" s="4"/>
      <c r="Z146" s="12">
        <f t="shared" ref="Z146:Z149" si="85">IF(T146=0,0,X146/T146)</f>
        <v>-6.4554088327399547E-2</v>
      </c>
    </row>
    <row r="147" spans="1:26" s="24" customFormat="1" hidden="1" outlineLevel="1" x14ac:dyDescent="0.25">
      <c r="A147" s="44"/>
      <c r="B147" s="11" t="str">
        <f>CONCATENATE("          ", "9150", " - ", "MISC. INCOME")</f>
        <v xml:space="preserve">          9150 - MISC. INCOME</v>
      </c>
      <c r="C147" s="11"/>
      <c r="D147" s="2">
        <f t="shared" ref="D147:D148" si="86">0</f>
        <v>0</v>
      </c>
      <c r="E147" s="2"/>
      <c r="F147" s="19">
        <f t="shared" si="78"/>
        <v>0</v>
      </c>
      <c r="G147" s="2"/>
      <c r="H147" s="2">
        <v>8075</v>
      </c>
      <c r="I147" s="2"/>
      <c r="J147" s="19">
        <f t="shared" si="79"/>
        <v>2.6917743376401723E-2</v>
      </c>
      <c r="K147" s="2"/>
      <c r="L147" s="2">
        <f t="shared" si="80"/>
        <v>-8075</v>
      </c>
      <c r="M147" s="2"/>
      <c r="N147" s="19">
        <f t="shared" si="81"/>
        <v>-1</v>
      </c>
      <c r="O147" s="11"/>
      <c r="P147" s="2">
        <f>--46373.31</f>
        <v>46373.31</v>
      </c>
      <c r="Q147" s="2"/>
      <c r="R147" s="19">
        <f t="shared" si="82"/>
        <v>3.6526066837301127E-2</v>
      </c>
      <c r="S147" s="2"/>
      <c r="T147" s="2">
        <v>72675</v>
      </c>
      <c r="U147" s="2"/>
      <c r="V147" s="19">
        <f t="shared" si="83"/>
        <v>2.9198860410764787E-2</v>
      </c>
      <c r="W147" s="2"/>
      <c r="X147" s="2">
        <f t="shared" si="84"/>
        <v>-26301.690000000002</v>
      </c>
      <c r="Y147" s="2"/>
      <c r="Z147" s="19">
        <f t="shared" si="85"/>
        <v>-0.36190835913312697</v>
      </c>
    </row>
    <row r="148" spans="1:26" s="24" customFormat="1" hidden="1" outlineLevel="1" x14ac:dyDescent="0.25">
      <c r="A148" s="44"/>
      <c r="B148" s="11" t="str">
        <f>CONCATENATE("          ", "9151", " - ", "MISC. INCOME")</f>
        <v xml:space="preserve">          9151 - MISC. INCOME</v>
      </c>
      <c r="C148" s="11"/>
      <c r="D148" s="2">
        <f t="shared" si="86"/>
        <v>0</v>
      </c>
      <c r="E148" s="2"/>
      <c r="F148" s="19">
        <f t="shared" si="78"/>
        <v>0</v>
      </c>
      <c r="G148" s="2"/>
      <c r="H148" s="2">
        <v>173620</v>
      </c>
      <c r="I148" s="2"/>
      <c r="J148" s="19">
        <f t="shared" si="79"/>
        <v>0.57875648359267706</v>
      </c>
      <c r="K148" s="2"/>
      <c r="L148" s="2">
        <f t="shared" si="80"/>
        <v>-173620</v>
      </c>
      <c r="M148" s="2"/>
      <c r="N148" s="19">
        <f t="shared" si="81"/>
        <v>-1</v>
      </c>
      <c r="O148" s="11"/>
      <c r="P148" s="2">
        <f>0</f>
        <v>0</v>
      </c>
      <c r="Q148" s="2"/>
      <c r="R148" s="19">
        <f t="shared" si="82"/>
        <v>0</v>
      </c>
      <c r="S148" s="2"/>
      <c r="T148" s="2">
        <v>347240</v>
      </c>
      <c r="U148" s="2"/>
      <c r="V148" s="19">
        <f t="shared" si="83"/>
        <v>0.13951169300356334</v>
      </c>
      <c r="W148" s="2"/>
      <c r="X148" s="2">
        <f t="shared" si="84"/>
        <v>-347240</v>
      </c>
      <c r="Y148" s="2"/>
      <c r="Z148" s="19">
        <f t="shared" si="85"/>
        <v>-1</v>
      </c>
    </row>
    <row r="149" spans="1:26" s="24" customFormat="1" hidden="1" outlineLevel="1" x14ac:dyDescent="0.25">
      <c r="A149" s="44"/>
      <c r="B149" s="11" t="str">
        <f>CONCATENATE("          ", "9163", " - ", "MISC. INCOME")</f>
        <v xml:space="preserve">          9163 - MISC. INCOME</v>
      </c>
      <c r="C149" s="11"/>
      <c r="D149" s="2">
        <f>--175014.7</f>
        <v>175014.7</v>
      </c>
      <c r="E149" s="2"/>
      <c r="F149" s="19">
        <f t="shared" si="78"/>
        <v>1.2264070489918277</v>
      </c>
      <c r="G149" s="2"/>
      <c r="H149" s="2"/>
      <c r="I149" s="2"/>
      <c r="J149" s="19">
        <f t="shared" si="79"/>
        <v>0</v>
      </c>
      <c r="K149" s="2"/>
      <c r="L149" s="2">
        <f t="shared" si="80"/>
        <v>175014.7</v>
      </c>
      <c r="M149" s="2"/>
      <c r="N149" s="19">
        <f t="shared" si="81"/>
        <v>0</v>
      </c>
      <c r="O149" s="11"/>
      <c r="P149" s="2">
        <f>--346434.46</f>
        <v>346434.46</v>
      </c>
      <c r="Q149" s="2"/>
      <c r="R149" s="19">
        <f t="shared" si="82"/>
        <v>0.27287006773301981</v>
      </c>
      <c r="S149" s="2"/>
      <c r="T149" s="2"/>
      <c r="U149" s="2"/>
      <c r="V149" s="19">
        <f t="shared" si="83"/>
        <v>0</v>
      </c>
      <c r="W149" s="2"/>
      <c r="X149" s="2">
        <f t="shared" si="84"/>
        <v>346434.46</v>
      </c>
      <c r="Y149" s="2"/>
      <c r="Z149" s="19">
        <f t="shared" si="85"/>
        <v>0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10"/>
      <c r="B151" s="29" t="s">
        <v>277</v>
      </c>
      <c r="C151" s="29"/>
      <c r="D151" s="20">
        <f>+D77-D79+D146</f>
        <v>196567.66</v>
      </c>
      <c r="E151" s="14"/>
      <c r="F151" s="21">
        <f>IF(D$12=0,0,D151/D$12)</f>
        <v>1.377438374192733</v>
      </c>
      <c r="G151" s="14"/>
      <c r="H151" s="20">
        <f>+H77-H79+H146</f>
        <v>240435.51422192311</v>
      </c>
      <c r="I151" s="14"/>
      <c r="J151" s="21">
        <f>IF(H$12=0,0,H151/H$12)</f>
        <v>0.801483773424014</v>
      </c>
      <c r="K151" s="16"/>
      <c r="L151" s="20">
        <f>+D151-H151</f>
        <v>-43867.854221923102</v>
      </c>
      <c r="M151" s="16"/>
      <c r="N151" s="21">
        <f>IF(H151=0,0,L151/H151)</f>
        <v>-0.18245164140532447</v>
      </c>
      <c r="O151" s="28"/>
      <c r="P151" s="20">
        <f>+P77-P79+P146</f>
        <v>506178.23000000027</v>
      </c>
      <c r="Q151" s="14"/>
      <c r="R151" s="21">
        <f>IF(P$12=0,0,P151/P$12)</f>
        <v>0.39869269328772938</v>
      </c>
      <c r="S151" s="14"/>
      <c r="T151" s="20">
        <f>+T77-T79+T146</f>
        <v>848312.86010250007</v>
      </c>
      <c r="U151" s="14"/>
      <c r="V151" s="21">
        <f>IF(T$12=0,0,T151/T$12)</f>
        <v>0.34082929187188904</v>
      </c>
      <c r="W151" s="16"/>
      <c r="X151" s="20">
        <f>+P151-T151</f>
        <v>-342134.6301024998</v>
      </c>
      <c r="Y151" s="16"/>
      <c r="Z151" s="21">
        <f>IF(T151=0,0,X151/T151)</f>
        <v>-0.40331185131528041</v>
      </c>
    </row>
    <row r="152" spans="1:26" x14ac:dyDescent="0.25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52"/>
      <c r="B153" s="10" t="s">
        <v>128</v>
      </c>
      <c r="C153" s="10"/>
      <c r="D153" s="4">
        <v>38488.269999999997</v>
      </c>
      <c r="E153" s="4"/>
      <c r="F153" s="12">
        <f>IF(D$12=0,0,D153/D$12)</f>
        <v>0.26970469127165136</v>
      </c>
      <c r="G153" s="4"/>
      <c r="H153" s="4">
        <v>63690</v>
      </c>
      <c r="I153" s="4"/>
      <c r="J153" s="12">
        <f>IF(H$12=0,0,H153/H$12)</f>
        <v>0.21230849233969359</v>
      </c>
      <c r="K153" s="4"/>
      <c r="L153" s="4">
        <f>+D153-H153</f>
        <v>-25201.730000000003</v>
      </c>
      <c r="M153" s="4"/>
      <c r="N153" s="12">
        <f>IF(H153=0,0,L153/H153)</f>
        <v>-0.39569367247605597</v>
      </c>
      <c r="O153" s="10"/>
      <c r="P153" s="4">
        <v>261652.74</v>
      </c>
      <c r="Q153" s="4"/>
      <c r="R153" s="12">
        <f>IF(P$12=0,0,P153/P$12)</f>
        <v>0.20609150973702275</v>
      </c>
      <c r="S153" s="4"/>
      <c r="T153" s="4">
        <v>440149</v>
      </c>
      <c r="U153" s="4"/>
      <c r="V153" s="12">
        <f>IF(T$12=0,0,T153/T$12)</f>
        <v>0.17684003042225951</v>
      </c>
      <c r="W153" s="4"/>
      <c r="X153" s="4">
        <f>+P153-T153</f>
        <v>-178496.26</v>
      </c>
      <c r="Y153" s="4"/>
      <c r="Z153" s="12">
        <f>IF(T153=0,0,X153/T153)</f>
        <v>-0.40553598894919679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9" t="s">
        <v>126</v>
      </c>
      <c r="C155" s="29"/>
      <c r="D155" s="34">
        <f>+D151-D153</f>
        <v>158079.39000000001</v>
      </c>
      <c r="E155" s="14"/>
      <c r="F155" s="30">
        <f>IF(D$12=0,0,D155/D$12)</f>
        <v>1.1077336829210818</v>
      </c>
      <c r="G155" s="14"/>
      <c r="H155" s="34">
        <f>+H151-H153</f>
        <v>176745.51422192311</v>
      </c>
      <c r="I155" s="14"/>
      <c r="J155" s="30">
        <f>IF(H$12=0,0,H155/H$12)</f>
        <v>0.58917528108432038</v>
      </c>
      <c r="K155" s="16"/>
      <c r="L155" s="34">
        <f>D155-H155</f>
        <v>-18666.124221923092</v>
      </c>
      <c r="M155" s="16"/>
      <c r="N155" s="30">
        <f>IF(H155=0,0,L155/H155)</f>
        <v>-0.10561017236616119</v>
      </c>
      <c r="O155" s="28"/>
      <c r="P155" s="34">
        <f>+P151-P153</f>
        <v>244525.49000000028</v>
      </c>
      <c r="Q155" s="14"/>
      <c r="R155" s="30">
        <f>IF(P$12=0,0,P155/P$12)</f>
        <v>0.19260118355070663</v>
      </c>
      <c r="S155" s="14"/>
      <c r="T155" s="34">
        <f>+T151-T153</f>
        <v>408163.86010250007</v>
      </c>
      <c r="U155" s="14"/>
      <c r="V155" s="30">
        <f>IF(T$12=0,0,T155/T$12)</f>
        <v>0.16398926144962953</v>
      </c>
      <c r="W155" s="16"/>
      <c r="X155" s="34">
        <f>P155-T155</f>
        <v>-163638.37010249979</v>
      </c>
      <c r="Y155" s="16"/>
      <c r="Z155" s="30">
        <f>IF(T155=0,0,X155/T155)</f>
        <v>-0.40091342251958839</v>
      </c>
    </row>
    <row r="156" spans="1:26" ht="15.75" thickTop="1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25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9" t="s">
        <v>294</v>
      </c>
      <c r="C158" s="29"/>
      <c r="D158" s="31">
        <f>SUM(D155:D157)</f>
        <v>158079.39000000001</v>
      </c>
      <c r="E158" s="14"/>
      <c r="F158" s="35">
        <f>IF(D$12=0,0,D158/D$12)</f>
        <v>1.1077336829210818</v>
      </c>
      <c r="G158" s="14"/>
      <c r="H158" s="31">
        <f>SUM(H155:H157)</f>
        <v>176745.51422192311</v>
      </c>
      <c r="I158" s="14"/>
      <c r="J158" s="35">
        <f>IF(H$12=0,0,H158/H$12)</f>
        <v>0.58917528108432038</v>
      </c>
      <c r="K158" s="16"/>
      <c r="L158" s="31">
        <f>+D158-H158</f>
        <v>-18666.124221923092</v>
      </c>
      <c r="M158" s="16"/>
      <c r="N158" s="35">
        <f>IF(H158=0,0,L158/H158)</f>
        <v>-0.10561017236616119</v>
      </c>
      <c r="O158" s="28"/>
      <c r="P158" s="31">
        <f>SUM(P155:P157)</f>
        <v>244525.49000000028</v>
      </c>
      <c r="Q158" s="14"/>
      <c r="R158" s="35">
        <f>IF(P$12=0,0,P158/P$12)</f>
        <v>0.19260118355070663</v>
      </c>
      <c r="S158" s="14"/>
      <c r="T158" s="31">
        <f>SUM(T155:T157)</f>
        <v>408163.86010250007</v>
      </c>
      <c r="U158" s="14"/>
      <c r="V158" s="35">
        <f>IF(T$12=0,0,T158/T$12)</f>
        <v>0.16398926144962953</v>
      </c>
      <c r="W158" s="16"/>
      <c r="X158" s="31">
        <f>+P158-T158</f>
        <v>-163638.37010249979</v>
      </c>
      <c r="Y158" s="16"/>
      <c r="Z158" s="35">
        <f>IF(T158=0,0,X158/T158)</f>
        <v>-0.40091342251958839</v>
      </c>
    </row>
    <row r="159" spans="1:26" ht="15.75" thickTop="1" x14ac:dyDescent="0.25">
      <c r="A159" s="9"/>
      <c r="C159" s="9"/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A160" s="9"/>
      <c r="B160" s="56">
        <v>44295.961797766206</v>
      </c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1:24" x14ac:dyDescent="0.25">
      <c r="A161" s="9"/>
      <c r="B161" s="53" t="s">
        <v>56</v>
      </c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25">
      <c r="A162" s="9"/>
      <c r="B162" s="54"/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  <row r="163" spans="1:24" x14ac:dyDescent="0.25">
      <c r="D163" s="18"/>
      <c r="E163" s="18"/>
      <c r="G163" s="18"/>
      <c r="H163" s="18"/>
      <c r="I163" s="18"/>
      <c r="J163" s="43"/>
      <c r="K163" s="18"/>
      <c r="L163" s="18"/>
      <c r="M163" s="18"/>
      <c r="P163" s="18"/>
      <c r="Q163" s="18"/>
      <c r="R163" s="43"/>
      <c r="S163" s="18"/>
      <c r="T163" s="18"/>
      <c r="U163" s="18"/>
      <c r="V163" s="43"/>
      <c r="W163" s="18"/>
      <c r="X163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24047.499999999993</v>
      </c>
      <c r="E12" s="4"/>
      <c r="F12" s="12"/>
      <c r="G12" s="4"/>
      <c r="H12" s="4">
        <f>SUM(OSRRefH13x_0)</f>
        <v>39787</v>
      </c>
      <c r="I12" s="4"/>
      <c r="J12" s="12"/>
      <c r="K12" s="4"/>
      <c r="L12" s="4">
        <f t="shared" ref="L12:L33" si="0">+D12-H12</f>
        <v>-15739.500000000007</v>
      </c>
      <c r="M12" s="4"/>
      <c r="N12" s="12">
        <f t="shared" ref="N12:N33" si="1">IF(H12=0,0,L12/H12)</f>
        <v>-0.39559403825370115</v>
      </c>
      <c r="O12" s="10"/>
      <c r="P12" s="4">
        <f>SUM(OSRRefP13x_0)</f>
        <v>208285.91999999998</v>
      </c>
      <c r="Q12" s="4"/>
      <c r="R12" s="12"/>
      <c r="S12" s="4"/>
      <c r="T12" s="4">
        <f>SUM(OSRRefT13x_0)</f>
        <v>422550</v>
      </c>
      <c r="U12" s="4"/>
      <c r="V12" s="12"/>
      <c r="W12" s="4"/>
      <c r="X12" s="4">
        <f t="shared" ref="X12:X33" si="2">+P12-T12</f>
        <v>-214264.08000000002</v>
      </c>
      <c r="Y12" s="4"/>
      <c r="Z12" s="12">
        <f t="shared" ref="Z12:Z33" si="3">IF(T12=0,0,X12/T12)</f>
        <v>-0.50707390841320554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-458.77</f>
        <v>-458.77</v>
      </c>
      <c r="E13" s="2"/>
      <c r="F13" s="19"/>
      <c r="G13" s="2"/>
      <c r="H13" s="2">
        <v>39787</v>
      </c>
      <c r="I13" s="2"/>
      <c r="J13" s="19"/>
      <c r="K13" s="2"/>
      <c r="L13" s="2">
        <f t="shared" si="0"/>
        <v>-40245.769999999997</v>
      </c>
      <c r="M13" s="2"/>
      <c r="N13" s="19">
        <f t="shared" si="1"/>
        <v>-1.0115306507150577</v>
      </c>
      <c r="O13" s="11"/>
      <c r="P13" s="2">
        <f>-5502.51</f>
        <v>-5502.51</v>
      </c>
      <c r="Q13" s="2"/>
      <c r="R13" s="19"/>
      <c r="S13" s="2"/>
      <c r="T13" s="2">
        <v>422550</v>
      </c>
      <c r="U13" s="2"/>
      <c r="V13" s="19"/>
      <c r="W13" s="2"/>
      <c r="X13" s="2">
        <f t="shared" si="2"/>
        <v>-428052.51</v>
      </c>
      <c r="Y13" s="2"/>
      <c r="Z13" s="19">
        <f t="shared" si="3"/>
        <v>-1.0130221512247071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--16.37</f>
        <v>16.37</v>
      </c>
      <c r="E14" s="2"/>
      <c r="F14" s="19"/>
      <c r="G14" s="2"/>
      <c r="H14" s="2"/>
      <c r="I14" s="2"/>
      <c r="J14" s="19"/>
      <c r="K14" s="2"/>
      <c r="L14" s="2">
        <f t="shared" si="0"/>
        <v>16.37</v>
      </c>
      <c r="M14" s="2"/>
      <c r="N14" s="19">
        <f t="shared" si="1"/>
        <v>0</v>
      </c>
      <c r="O14" s="11"/>
      <c r="P14" s="2">
        <f>--225.25</f>
        <v>225.25</v>
      </c>
      <c r="Q14" s="2"/>
      <c r="R14" s="19"/>
      <c r="S14" s="2"/>
      <c r="T14" s="2"/>
      <c r="U14" s="2"/>
      <c r="V14" s="19"/>
      <c r="W14" s="2"/>
      <c r="X14" s="2">
        <f t="shared" si="2"/>
        <v>225.25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--59.17</f>
        <v>59.17</v>
      </c>
      <c r="E15" s="2"/>
      <c r="F15" s="19"/>
      <c r="G15" s="2"/>
      <c r="H15" s="2"/>
      <c r="I15" s="2"/>
      <c r="J15" s="19"/>
      <c r="K15" s="2"/>
      <c r="L15" s="2">
        <f t="shared" si="0"/>
        <v>59.17</v>
      </c>
      <c r="M15" s="2"/>
      <c r="N15" s="19">
        <f t="shared" si="1"/>
        <v>0</v>
      </c>
      <c r="O15" s="11"/>
      <c r="P15" s="2">
        <f>--393.05</f>
        <v>393.05</v>
      </c>
      <c r="Q15" s="2"/>
      <c r="R15" s="19"/>
      <c r="S15" s="2"/>
      <c r="T15" s="2"/>
      <c r="U15" s="2"/>
      <c r="V15" s="19"/>
      <c r="W15" s="2"/>
      <c r="X15" s="2">
        <f t="shared" si="2"/>
        <v>393.05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--29.24</f>
        <v>29.24</v>
      </c>
      <c r="Q16" s="2"/>
      <c r="R16" s="19"/>
      <c r="S16" s="2"/>
      <c r="T16" s="2"/>
      <c r="U16" s="2"/>
      <c r="V16" s="19"/>
      <c r="W16" s="2"/>
      <c r="X16" s="2">
        <f t="shared" si="2"/>
        <v>29.24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--19717.6</f>
        <v>19717.599999999999</v>
      </c>
      <c r="E17" s="2"/>
      <c r="F17" s="19"/>
      <c r="G17" s="2"/>
      <c r="H17" s="2"/>
      <c r="I17" s="2"/>
      <c r="J17" s="19"/>
      <c r="K17" s="2"/>
      <c r="L17" s="2">
        <f t="shared" si="0"/>
        <v>19717.599999999999</v>
      </c>
      <c r="M17" s="2"/>
      <c r="N17" s="19">
        <f t="shared" si="1"/>
        <v>0</v>
      </c>
      <c r="O17" s="11"/>
      <c r="P17" s="2">
        <f>--173457.64</f>
        <v>173457.64</v>
      </c>
      <c r="Q17" s="2"/>
      <c r="R17" s="19"/>
      <c r="S17" s="2"/>
      <c r="T17" s="2"/>
      <c r="U17" s="2"/>
      <c r="V17" s="19"/>
      <c r="W17" s="2"/>
      <c r="X17" s="2">
        <f t="shared" si="2"/>
        <v>173457.64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--2923.25</f>
        <v>2923.25</v>
      </c>
      <c r="E18" s="2"/>
      <c r="F18" s="19"/>
      <c r="G18" s="2"/>
      <c r="H18" s="2"/>
      <c r="I18" s="2"/>
      <c r="J18" s="19"/>
      <c r="K18" s="2"/>
      <c r="L18" s="2">
        <f t="shared" si="0"/>
        <v>2923.25</v>
      </c>
      <c r="M18" s="2"/>
      <c r="N18" s="19">
        <f t="shared" si="1"/>
        <v>0</v>
      </c>
      <c r="O18" s="11"/>
      <c r="P18" s="2">
        <f>--26837.34</f>
        <v>26837.34</v>
      </c>
      <c r="Q18" s="2"/>
      <c r="R18" s="19"/>
      <c r="S18" s="2"/>
      <c r="T18" s="2"/>
      <c r="U18" s="2"/>
      <c r="V18" s="19"/>
      <c r="W18" s="2"/>
      <c r="X18" s="2">
        <f t="shared" si="2"/>
        <v>26837.34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--1309.35</f>
        <v>1309.3499999999999</v>
      </c>
      <c r="E19" s="2"/>
      <c r="F19" s="19"/>
      <c r="G19" s="2"/>
      <c r="H19" s="2"/>
      <c r="I19" s="2"/>
      <c r="J19" s="19"/>
      <c r="K19" s="2"/>
      <c r="L19" s="2">
        <f t="shared" si="0"/>
        <v>1309.3499999999999</v>
      </c>
      <c r="M19" s="2"/>
      <c r="N19" s="19">
        <f t="shared" si="1"/>
        <v>0</v>
      </c>
      <c r="O19" s="11"/>
      <c r="P19" s="2">
        <f>--8219.03</f>
        <v>8219.0300000000007</v>
      </c>
      <c r="Q19" s="2"/>
      <c r="R19" s="19"/>
      <c r="S19" s="2"/>
      <c r="T19" s="2"/>
      <c r="U19" s="2"/>
      <c r="V19" s="19"/>
      <c r="W19" s="2"/>
      <c r="X19" s="2">
        <f t="shared" si="2"/>
        <v>8219.0300000000007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--1132.96</f>
        <v>1132.96</v>
      </c>
      <c r="E20" s="2"/>
      <c r="F20" s="19"/>
      <c r="G20" s="2"/>
      <c r="H20" s="2"/>
      <c r="I20" s="2"/>
      <c r="J20" s="19"/>
      <c r="K20" s="2"/>
      <c r="L20" s="2">
        <f t="shared" si="0"/>
        <v>1132.96</v>
      </c>
      <c r="M20" s="2"/>
      <c r="N20" s="19">
        <f t="shared" si="1"/>
        <v>0</v>
      </c>
      <c r="O20" s="11"/>
      <c r="P20" s="2">
        <f>--10689.9</f>
        <v>10689.9</v>
      </c>
      <c r="Q20" s="2"/>
      <c r="R20" s="19"/>
      <c r="S20" s="2"/>
      <c r="T20" s="2"/>
      <c r="U20" s="2"/>
      <c r="V20" s="19"/>
      <c r="W20" s="2"/>
      <c r="X20" s="2">
        <f t="shared" si="2"/>
        <v>10689.9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--140.64</f>
        <v>140.63999999999999</v>
      </c>
      <c r="E21" s="2"/>
      <c r="F21" s="19"/>
      <c r="G21" s="2"/>
      <c r="H21" s="2"/>
      <c r="I21" s="2"/>
      <c r="J21" s="19"/>
      <c r="K21" s="2"/>
      <c r="L21" s="2">
        <f t="shared" si="0"/>
        <v>140.63999999999999</v>
      </c>
      <c r="M21" s="2"/>
      <c r="N21" s="19">
        <f t="shared" si="1"/>
        <v>0</v>
      </c>
      <c r="O21" s="11"/>
      <c r="P21" s="2">
        <f>--2311.39</f>
        <v>2311.39</v>
      </c>
      <c r="Q21" s="2"/>
      <c r="R21" s="19"/>
      <c r="S21" s="2"/>
      <c r="T21" s="2"/>
      <c r="U21" s="2"/>
      <c r="V21" s="19"/>
      <c r="W21" s="2"/>
      <c r="X21" s="2">
        <f t="shared" si="2"/>
        <v>2311.39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--326.37</f>
        <v>326.37</v>
      </c>
      <c r="Q22" s="2"/>
      <c r="R22" s="19"/>
      <c r="S22" s="2"/>
      <c r="T22" s="2"/>
      <c r="U22" s="2"/>
      <c r="V22" s="19"/>
      <c r="W22" s="2"/>
      <c r="X22" s="2">
        <f t="shared" si="2"/>
        <v>326.37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>--3</f>
        <v>3</v>
      </c>
      <c r="E23" s="2"/>
      <c r="F23" s="19"/>
      <c r="G23" s="2"/>
      <c r="H23" s="2"/>
      <c r="I23" s="2"/>
      <c r="J23" s="19"/>
      <c r="K23" s="2"/>
      <c r="L23" s="2">
        <f t="shared" si="0"/>
        <v>3</v>
      </c>
      <c r="M23" s="2"/>
      <c r="N23" s="19">
        <f t="shared" si="1"/>
        <v>0</v>
      </c>
      <c r="O23" s="11"/>
      <c r="P23" s="2">
        <f>--45</f>
        <v>45</v>
      </c>
      <c r="Q23" s="2"/>
      <c r="R23" s="19"/>
      <c r="S23" s="2"/>
      <c r="T23" s="2"/>
      <c r="U23" s="2"/>
      <c r="V23" s="19"/>
      <c r="W23" s="2"/>
      <c r="X23" s="2">
        <f t="shared" si="2"/>
        <v>45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</f>
        <v>9</v>
      </c>
      <c r="Q24" s="2"/>
      <c r="R24" s="19"/>
      <c r="S24" s="2"/>
      <c r="T24" s="2"/>
      <c r="U24" s="2"/>
      <c r="V24" s="19"/>
      <c r="W24" s="2"/>
      <c r="X24" s="2">
        <f t="shared" si="2"/>
        <v>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--33.71</f>
        <v>33.71</v>
      </c>
      <c r="E25" s="2"/>
      <c r="F25" s="19"/>
      <c r="G25" s="2"/>
      <c r="H25" s="2"/>
      <c r="I25" s="2"/>
      <c r="J25" s="19"/>
      <c r="K25" s="2"/>
      <c r="L25" s="2">
        <f t="shared" si="0"/>
        <v>33.71</v>
      </c>
      <c r="M25" s="2"/>
      <c r="N25" s="19">
        <f t="shared" si="1"/>
        <v>0</v>
      </c>
      <c r="O25" s="11"/>
      <c r="P25" s="2">
        <f>--199.49</f>
        <v>199.49</v>
      </c>
      <c r="Q25" s="2"/>
      <c r="R25" s="19"/>
      <c r="S25" s="2"/>
      <c r="T25" s="2"/>
      <c r="U25" s="2"/>
      <c r="V25" s="19"/>
      <c r="W25" s="2"/>
      <c r="X25" s="2">
        <f t="shared" si="2"/>
        <v>199.49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ref="D26:D28" si="4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</f>
        <v>7</v>
      </c>
      <c r="Q26" s="2"/>
      <c r="R26" s="19"/>
      <c r="S26" s="2"/>
      <c r="T26" s="2"/>
      <c r="U26" s="2"/>
      <c r="V26" s="19"/>
      <c r="W26" s="2"/>
      <c r="X26" s="2">
        <f t="shared" si="2"/>
        <v>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-27.85</f>
        <v>-27.85</v>
      </c>
      <c r="Q27" s="2"/>
      <c r="R27" s="19"/>
      <c r="S27" s="2"/>
      <c r="T27" s="2"/>
      <c r="U27" s="2"/>
      <c r="V27" s="19"/>
      <c r="W27" s="2"/>
      <c r="X27" s="2">
        <f t="shared" si="2"/>
        <v>-27.85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-43.21</f>
        <v>-43.21</v>
      </c>
      <c r="Q28" s="2"/>
      <c r="R28" s="19"/>
      <c r="S28" s="2"/>
      <c r="T28" s="2"/>
      <c r="U28" s="2"/>
      <c r="V28" s="19"/>
      <c r="W28" s="2"/>
      <c r="X28" s="2">
        <f t="shared" si="2"/>
        <v>-43.21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-615.04</f>
        <v>-615.04</v>
      </c>
      <c r="E29" s="2"/>
      <c r="F29" s="19"/>
      <c r="G29" s="2"/>
      <c r="H29" s="2"/>
      <c r="I29" s="2"/>
      <c r="J29" s="19"/>
      <c r="K29" s="2"/>
      <c r="L29" s="2">
        <f t="shared" si="0"/>
        <v>-615.04</v>
      </c>
      <c r="M29" s="2"/>
      <c r="N29" s="19">
        <f t="shared" si="1"/>
        <v>0</v>
      </c>
      <c r="O29" s="11"/>
      <c r="P29" s="2">
        <f>-7951.32</f>
        <v>-7951.32</v>
      </c>
      <c r="Q29" s="2"/>
      <c r="R29" s="19"/>
      <c r="S29" s="2"/>
      <c r="T29" s="2"/>
      <c r="U29" s="2"/>
      <c r="V29" s="19"/>
      <c r="W29" s="2"/>
      <c r="X29" s="2">
        <f t="shared" si="2"/>
        <v>-7951.32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-171.84</f>
        <v>-171.84</v>
      </c>
      <c r="E30" s="2"/>
      <c r="F30" s="19"/>
      <c r="G30" s="2"/>
      <c r="H30" s="2"/>
      <c r="I30" s="2"/>
      <c r="J30" s="19"/>
      <c r="K30" s="2"/>
      <c r="L30" s="2">
        <f t="shared" si="0"/>
        <v>-171.84</v>
      </c>
      <c r="M30" s="2"/>
      <c r="N30" s="19">
        <f t="shared" si="1"/>
        <v>0</v>
      </c>
      <c r="O30" s="11"/>
      <c r="P30" s="2">
        <f>-562.95</f>
        <v>-562.95000000000005</v>
      </c>
      <c r="Q30" s="2"/>
      <c r="R30" s="19"/>
      <c r="S30" s="2"/>
      <c r="T30" s="2"/>
      <c r="U30" s="2"/>
      <c r="V30" s="19"/>
      <c r="W30" s="2"/>
      <c r="X30" s="2">
        <f t="shared" si="2"/>
        <v>-562.95000000000005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-29.95</f>
        <v>-29.95</v>
      </c>
      <c r="E31" s="2"/>
      <c r="F31" s="19"/>
      <c r="G31" s="2"/>
      <c r="H31" s="2"/>
      <c r="I31" s="2"/>
      <c r="J31" s="19"/>
      <c r="K31" s="2"/>
      <c r="L31" s="2">
        <f t="shared" si="0"/>
        <v>-29.95</v>
      </c>
      <c r="M31" s="2"/>
      <c r="N31" s="19">
        <f t="shared" si="1"/>
        <v>0</v>
      </c>
      <c r="O31" s="11"/>
      <c r="P31" s="2">
        <f>-326.06</f>
        <v>-326.06</v>
      </c>
      <c r="Q31" s="2"/>
      <c r="R31" s="19"/>
      <c r="S31" s="2"/>
      <c r="T31" s="2"/>
      <c r="U31" s="2"/>
      <c r="V31" s="19"/>
      <c r="W31" s="2"/>
      <c r="X31" s="2">
        <f t="shared" si="2"/>
        <v>-326.06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-12.95</f>
        <v>-12.95</v>
      </c>
      <c r="E32" s="2"/>
      <c r="F32" s="19"/>
      <c r="G32" s="2"/>
      <c r="H32" s="2"/>
      <c r="I32" s="2"/>
      <c r="J32" s="19"/>
      <c r="K32" s="2"/>
      <c r="L32" s="2">
        <f t="shared" si="0"/>
        <v>-12.95</v>
      </c>
      <c r="M32" s="2"/>
      <c r="N32" s="19">
        <f t="shared" si="1"/>
        <v>0</v>
      </c>
      <c r="O32" s="11"/>
      <c r="P32" s="2">
        <f>-42.88</f>
        <v>-42.88</v>
      </c>
      <c r="Q32" s="2"/>
      <c r="R32" s="19"/>
      <c r="S32" s="2"/>
      <c r="T32" s="2"/>
      <c r="U32" s="2"/>
      <c r="V32" s="19"/>
      <c r="W32" s="2"/>
      <c r="X32" s="2">
        <f t="shared" si="2"/>
        <v>-42.88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-7</f>
        <v>-7</v>
      </c>
      <c r="Q33" s="2"/>
      <c r="R33" s="19"/>
      <c r="S33" s="2"/>
      <c r="T33" s="2"/>
      <c r="U33" s="2"/>
      <c r="V33" s="19"/>
      <c r="W33" s="2"/>
      <c r="X33" s="2">
        <f t="shared" si="2"/>
        <v>-7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257</v>
      </c>
      <c r="C35" s="10"/>
      <c r="D35" s="4">
        <f>SUM(OSRRefD16x_0)</f>
        <v>10821</v>
      </c>
      <c r="E35" s="4"/>
      <c r="F35" s="12">
        <f t="shared" ref="F35:F42" si="5">IF(D$12=0,0,D35/D$12)</f>
        <v>0.4499844058633955</v>
      </c>
      <c r="G35" s="4"/>
      <c r="H35" s="4">
        <f>SUM(OSRRefH16x_0)</f>
        <v>17108</v>
      </c>
      <c r="I35" s="4"/>
      <c r="J35" s="12">
        <f t="shared" ref="J35:J42" si="6">IF(H$12=0,0,H35/H$12)</f>
        <v>0.42998969512654889</v>
      </c>
      <c r="K35" s="4"/>
      <c r="L35" s="4">
        <f t="shared" ref="L35:L42" si="7">+D35-H35</f>
        <v>-6287</v>
      </c>
      <c r="M35" s="4"/>
      <c r="N35" s="12">
        <f t="shared" ref="N35:N42" si="8">IF(H35=0,0,L35/H35)</f>
        <v>-0.36748889408463875</v>
      </c>
      <c r="O35" s="10"/>
      <c r="P35" s="4">
        <f>SUM(OSRRefP16x_0)</f>
        <v>93095</v>
      </c>
      <c r="Q35" s="4"/>
      <c r="R35" s="12">
        <f t="shared" ref="R35:R42" si="9">IF(P$12=0,0,P35/P$12)</f>
        <v>0.44695772042584542</v>
      </c>
      <c r="S35" s="4"/>
      <c r="T35" s="4">
        <f>SUM(OSRRefT16x_0)</f>
        <v>181695</v>
      </c>
      <c r="U35" s="4"/>
      <c r="V35" s="12">
        <f t="shared" ref="V35:V42" si="10">IF(T$12=0,0,T35/T$12)</f>
        <v>0.42999645012424564</v>
      </c>
      <c r="W35" s="4"/>
      <c r="X35" s="4">
        <f t="shared" ref="X35:X42" si="11">+P35-T35</f>
        <v>-88600</v>
      </c>
      <c r="Y35" s="4"/>
      <c r="Z35" s="12">
        <f t="shared" ref="Z35:Z42" si="12">IF(T35=0,0,X35/T35)</f>
        <v>-0.4876303695753873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17108</v>
      </c>
      <c r="I36" s="2"/>
      <c r="J36" s="19">
        <f t="shared" si="6"/>
        <v>0.42998969512654889</v>
      </c>
      <c r="K36" s="2"/>
      <c r="L36" s="2">
        <f t="shared" si="7"/>
        <v>-17108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181695</v>
      </c>
      <c r="U36" s="2"/>
      <c r="V36" s="19">
        <f t="shared" si="10"/>
        <v>0.42999645012424564</v>
      </c>
      <c r="W36" s="2"/>
      <c r="X36" s="2">
        <f t="shared" si="11"/>
        <v>-181695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0</v>
      </c>
      <c r="Q37" s="2"/>
      <c r="R37" s="19">
        <f t="shared" si="9"/>
        <v>0</v>
      </c>
      <c r="S37" s="2"/>
      <c r="T37" s="2"/>
      <c r="U37" s="2"/>
      <c r="V37" s="19">
        <f t="shared" si="10"/>
        <v>0</v>
      </c>
      <c r="W37" s="2"/>
      <c r="X37" s="2">
        <f t="shared" si="11"/>
        <v>0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207.6</v>
      </c>
      <c r="Q38" s="2"/>
      <c r="R38" s="19">
        <f t="shared" si="9"/>
        <v>9.9670683452822927E-4</v>
      </c>
      <c r="S38" s="2"/>
      <c r="T38" s="2"/>
      <c r="U38" s="2"/>
      <c r="V38" s="19">
        <f t="shared" si="10"/>
        <v>0</v>
      </c>
      <c r="W38" s="2"/>
      <c r="X38" s="2">
        <f t="shared" si="11"/>
        <v>207.6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/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7946.04</v>
      </c>
      <c r="Q39" s="2"/>
      <c r="R39" s="19">
        <f t="shared" si="9"/>
        <v>3.8149674255465761E-2</v>
      </c>
      <c r="S39" s="2"/>
      <c r="T39" s="2"/>
      <c r="U39" s="2"/>
      <c r="V39" s="19">
        <f t="shared" si="10"/>
        <v>0</v>
      </c>
      <c r="W39" s="2"/>
      <c r="X39" s="2">
        <f t="shared" si="11"/>
        <v>7946.04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13.21</v>
      </c>
      <c r="Q40" s="2"/>
      <c r="R40" s="19">
        <f t="shared" si="9"/>
        <v>6.3422433931203812E-5</v>
      </c>
      <c r="S40" s="2"/>
      <c r="T40" s="2"/>
      <c r="U40" s="2"/>
      <c r="V40" s="19">
        <f t="shared" si="10"/>
        <v>0</v>
      </c>
      <c r="W40" s="2"/>
      <c r="X40" s="2">
        <f t="shared" si="11"/>
        <v>13.21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/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0</v>
      </c>
      <c r="M41" s="2"/>
      <c r="N41" s="19">
        <f t="shared" si="8"/>
        <v>0</v>
      </c>
      <c r="O41" s="11"/>
      <c r="P41" s="2">
        <v>-8166.85</v>
      </c>
      <c r="Q41" s="2"/>
      <c r="R41" s="19">
        <f t="shared" si="9"/>
        <v>-3.9209803523925196E-2</v>
      </c>
      <c r="S41" s="2"/>
      <c r="T41" s="2"/>
      <c r="U41" s="2"/>
      <c r="V41" s="19">
        <f t="shared" si="10"/>
        <v>0</v>
      </c>
      <c r="W41" s="2"/>
      <c r="X41" s="2">
        <f t="shared" si="11"/>
        <v>-8166.85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10821</v>
      </c>
      <c r="E42" s="2"/>
      <c r="F42" s="19">
        <f t="shared" si="5"/>
        <v>0.4499844058633955</v>
      </c>
      <c r="G42" s="2"/>
      <c r="H42" s="2"/>
      <c r="I42" s="2"/>
      <c r="J42" s="19">
        <f t="shared" si="6"/>
        <v>0</v>
      </c>
      <c r="K42" s="2"/>
      <c r="L42" s="2">
        <f t="shared" si="7"/>
        <v>10821</v>
      </c>
      <c r="M42" s="2"/>
      <c r="N42" s="19">
        <f t="shared" si="8"/>
        <v>0</v>
      </c>
      <c r="O42" s="11"/>
      <c r="P42" s="2">
        <v>93095</v>
      </c>
      <c r="Q42" s="2"/>
      <c r="R42" s="19">
        <f t="shared" si="9"/>
        <v>0.44695772042584542</v>
      </c>
      <c r="S42" s="2"/>
      <c r="T42" s="2"/>
      <c r="U42" s="2"/>
      <c r="V42" s="19">
        <f t="shared" si="10"/>
        <v>0</v>
      </c>
      <c r="W42" s="2"/>
      <c r="X42" s="2">
        <f t="shared" si="11"/>
        <v>93095</v>
      </c>
      <c r="Y42" s="2"/>
      <c r="Z42" s="19">
        <f t="shared" si="12"/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9" t="s">
        <v>108</v>
      </c>
      <c r="C44" s="29"/>
      <c r="D44" s="20">
        <f>D12-D35</f>
        <v>13226.499999999993</v>
      </c>
      <c r="E44" s="14"/>
      <c r="F44" s="21">
        <f>IF(D$12=0,0,D44/D$12)</f>
        <v>0.5500155941366045</v>
      </c>
      <c r="G44" s="14"/>
      <c r="H44" s="20">
        <f>H12-H35</f>
        <v>22679</v>
      </c>
      <c r="I44" s="14"/>
      <c r="J44" s="21">
        <f>IF(H$12=0,0,H44/H$12)</f>
        <v>0.57001030487345117</v>
      </c>
      <c r="K44" s="16"/>
      <c r="L44" s="20">
        <f>+D44-H44</f>
        <v>-9452.5000000000073</v>
      </c>
      <c r="M44" s="16"/>
      <c r="N44" s="21">
        <f>IF(H44=0,0,L44/H44)</f>
        <v>-0.41679527316019255</v>
      </c>
      <c r="O44" s="28"/>
      <c r="P44" s="20">
        <f>P12-P35</f>
        <v>115190.91999999998</v>
      </c>
      <c r="Q44" s="14"/>
      <c r="R44" s="21">
        <f>IF(P$12=0,0,P44/P$12)</f>
        <v>0.55304227957415453</v>
      </c>
      <c r="S44" s="14"/>
      <c r="T44" s="20">
        <f>T12-T35</f>
        <v>240855</v>
      </c>
      <c r="U44" s="14"/>
      <c r="V44" s="21">
        <f>IF(T$12=0,0,T44/T$12)</f>
        <v>0.5700035498757543</v>
      </c>
      <c r="W44" s="16"/>
      <c r="X44" s="20">
        <f>+P44-T44</f>
        <v>-125664.08000000002</v>
      </c>
      <c r="Y44" s="16"/>
      <c r="Z44" s="21">
        <f>IF(T44=0,0,X44/T44)</f>
        <v>-0.52174162878080177</v>
      </c>
    </row>
    <row r="45" spans="1:26" x14ac:dyDescent="0.25">
      <c r="A45" s="9"/>
      <c r="B45" s="10"/>
      <c r="C45" s="9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6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8" t="s">
        <v>295</v>
      </c>
      <c r="C46" s="10"/>
      <c r="D46" s="22">
        <f>SUM(OSRRefD22x_0)</f>
        <v>20947.410000000003</v>
      </c>
      <c r="E46" s="22"/>
      <c r="F46" s="32">
        <f t="shared" ref="F46:F56" si="13">IF(D$12=0,0,D46/D$12)</f>
        <v>0.87108472814221893</v>
      </c>
      <c r="G46" s="22"/>
      <c r="H46" s="22">
        <f>SUM(OSRRefH22x_0)</f>
        <v>24053.178761846153</v>
      </c>
      <c r="I46" s="22"/>
      <c r="J46" s="32">
        <f t="shared" ref="J46:J56" si="14">IF(H$12=0,0,H46/H$12)</f>
        <v>0.6045486908247959</v>
      </c>
      <c r="K46" s="4"/>
      <c r="L46" s="22">
        <f t="shared" ref="L46:L56" si="15">+D46-H46</f>
        <v>-3105.7687618461496</v>
      </c>
      <c r="M46" s="4"/>
      <c r="N46" s="32">
        <f t="shared" ref="N46:N56" si="16">IF(H46=0,0,L46/H46)</f>
        <v>-0.12912092794872543</v>
      </c>
      <c r="O46" s="10"/>
      <c r="P46" s="22">
        <f>SUM(OSRRefP22x_0)</f>
        <v>192787.84</v>
      </c>
      <c r="Q46" s="22"/>
      <c r="R46" s="32">
        <f t="shared" ref="R46:R56" si="17">IF(P$12=0,0,P46/P$12)</f>
        <v>0.92559228199390531</v>
      </c>
      <c r="S46" s="22"/>
      <c r="T46" s="22">
        <f>SUM(OSRRefT22x_0)</f>
        <v>233881.90727600001</v>
      </c>
      <c r="U46" s="22"/>
      <c r="V46" s="32">
        <f t="shared" ref="V46:V56" si="18">IF(T$12=0,0,T46/T$12)</f>
        <v>0.55350114134658623</v>
      </c>
      <c r="W46" s="4"/>
      <c r="X46" s="22">
        <f t="shared" ref="X46:X56" si="19">+P46-T46</f>
        <v>-41094.067276000016</v>
      </c>
      <c r="Y46" s="4"/>
      <c r="Z46" s="32">
        <f t="shared" ref="Z46:Z56" si="20">IF(T46=0,0,X46/T46)</f>
        <v>-0.17570434478929409</v>
      </c>
    </row>
    <row r="47" spans="1:26" s="25" customFormat="1" outlineLevel="1" collapsed="1" x14ac:dyDescent="0.25">
      <c r="A47" s="27"/>
      <c r="B47" s="13" t="str">
        <f>CONCATENATE("     ","*Benefits                                         ")</f>
        <v xml:space="preserve">     *Benefits                                         </v>
      </c>
      <c r="C47" s="13"/>
      <c r="D47" s="1">
        <f>SUM(OSRRefD22_0x_0)</f>
        <v>3784.05</v>
      </c>
      <c r="E47" s="1"/>
      <c r="F47" s="5">
        <f t="shared" si="13"/>
        <v>0.15735731365006764</v>
      </c>
      <c r="G47" s="1"/>
      <c r="H47" s="1">
        <f>SUM(OSRRefH22_0x_0)</f>
        <v>2147.9018387692322</v>
      </c>
      <c r="I47" s="1"/>
      <c r="J47" s="5">
        <f t="shared" si="14"/>
        <v>5.3985016180391386E-2</v>
      </c>
      <c r="K47" s="1"/>
      <c r="L47" s="1">
        <f t="shared" si="15"/>
        <v>1636.148161230768</v>
      </c>
      <c r="M47" s="1"/>
      <c r="N47" s="5">
        <f t="shared" si="16"/>
        <v>0.7617425208631956</v>
      </c>
      <c r="O47" s="13"/>
      <c r="P47" s="1">
        <f>SUM(OSRRefP22_0x_0)</f>
        <v>43278.75</v>
      </c>
      <c r="Q47" s="1"/>
      <c r="R47" s="5">
        <f t="shared" si="17"/>
        <v>0.20778528860712239</v>
      </c>
      <c r="S47" s="1"/>
      <c r="T47" s="1">
        <f>SUM(OSRRefT22_0x_0)</f>
        <v>20860.257276</v>
      </c>
      <c r="U47" s="1"/>
      <c r="V47" s="5">
        <f t="shared" si="18"/>
        <v>4.9367547689030886E-2</v>
      </c>
      <c r="W47" s="1"/>
      <c r="X47" s="1">
        <f t="shared" si="19"/>
        <v>22418.492724</v>
      </c>
      <c r="Y47" s="1"/>
      <c r="Z47" s="5">
        <f t="shared" si="20"/>
        <v>1.0746987646117274</v>
      </c>
    </row>
    <row r="48" spans="1:26" s="24" customFormat="1" hidden="1" outlineLevel="2" x14ac:dyDescent="0.25">
      <c r="A48" s="26"/>
      <c r="B48" s="11" t="str">
        <f>CONCATENATE("          ", "6111", " - ", "F.I.C.A.")</f>
        <v xml:space="preserve">          6111 - F.I.C.A.</v>
      </c>
      <c r="C48" s="11"/>
      <c r="D48" s="7">
        <v>564.38</v>
      </c>
      <c r="E48" s="2"/>
      <c r="F48" s="6">
        <f t="shared" si="13"/>
        <v>2.3469383511799571E-2</v>
      </c>
      <c r="G48" s="2"/>
      <c r="H48" s="7">
        <v>283.30699569230802</v>
      </c>
      <c r="I48" s="2"/>
      <c r="J48" s="6">
        <f t="shared" si="14"/>
        <v>7.1205920449470437E-3</v>
      </c>
      <c r="K48" s="2"/>
      <c r="L48" s="7">
        <f t="shared" si="15"/>
        <v>281.07300430769197</v>
      </c>
      <c r="M48" s="2"/>
      <c r="N48" s="6">
        <f t="shared" si="16"/>
        <v>0.99211459152585724</v>
      </c>
      <c r="O48" s="11"/>
      <c r="P48" s="7">
        <v>6097.25</v>
      </c>
      <c r="Q48" s="2"/>
      <c r="R48" s="6">
        <f t="shared" si="17"/>
        <v>2.9273462171614868E-2</v>
      </c>
      <c r="S48" s="2"/>
      <c r="T48" s="7">
        <v>3634.5015360000002</v>
      </c>
      <c r="U48" s="2"/>
      <c r="V48" s="6">
        <f t="shared" si="18"/>
        <v>8.6013525878594257E-3</v>
      </c>
      <c r="W48" s="2"/>
      <c r="X48" s="7">
        <f t="shared" si="19"/>
        <v>2462.7484639999998</v>
      </c>
      <c r="Y48" s="2"/>
      <c r="Z48" s="6">
        <f t="shared" si="20"/>
        <v>0.67760281282214307</v>
      </c>
    </row>
    <row r="49" spans="1:26" s="24" customFormat="1" hidden="1" outlineLevel="2" x14ac:dyDescent="0.25">
      <c r="A49" s="26"/>
      <c r="B49" s="11" t="str">
        <f>CONCATENATE("          ", "6112", " - ", "COMPENSATION INSURANCE")</f>
        <v xml:space="preserve">          6112 - COMPENSATION INSURANCE</v>
      </c>
      <c r="C49" s="11"/>
      <c r="D49" s="7">
        <v>158.82</v>
      </c>
      <c r="E49" s="2"/>
      <c r="F49" s="6">
        <f t="shared" si="13"/>
        <v>6.6044287347957189E-3</v>
      </c>
      <c r="G49" s="2"/>
      <c r="H49" s="7">
        <v>170.93089230769201</v>
      </c>
      <c r="I49" s="2"/>
      <c r="J49" s="6">
        <f t="shared" si="14"/>
        <v>4.2961493027293338E-3</v>
      </c>
      <c r="K49" s="2"/>
      <c r="L49" s="7">
        <f t="shared" si="15"/>
        <v>-12.110892307692012</v>
      </c>
      <c r="M49" s="2"/>
      <c r="N49" s="6">
        <f t="shared" si="16"/>
        <v>-7.0852565877274218E-2</v>
      </c>
      <c r="O49" s="11"/>
      <c r="P49" s="7">
        <v>2073.85</v>
      </c>
      <c r="Q49" s="2"/>
      <c r="R49" s="6">
        <f t="shared" si="17"/>
        <v>9.9567459960807729E-3</v>
      </c>
      <c r="S49" s="2"/>
      <c r="T49" s="7">
        <v>1618.8128999999999</v>
      </c>
      <c r="U49" s="2"/>
      <c r="V49" s="6">
        <f t="shared" si="18"/>
        <v>3.831056443024494E-3</v>
      </c>
      <c r="W49" s="2"/>
      <c r="X49" s="7">
        <f t="shared" si="19"/>
        <v>455.03710000000001</v>
      </c>
      <c r="Y49" s="2"/>
      <c r="Z49" s="6">
        <f t="shared" si="20"/>
        <v>0.28109307752613044</v>
      </c>
    </row>
    <row r="50" spans="1:26" s="24" customFormat="1" hidden="1" outlineLevel="2" x14ac:dyDescent="0.25">
      <c r="A50" s="26"/>
      <c r="B50" s="11" t="str">
        <f>CONCATENATE("          ", "6113", " - ", "GROUP INSURANCE")</f>
        <v xml:space="preserve">          6113 - GROUP INSURANCE</v>
      </c>
      <c r="C50" s="11"/>
      <c r="D50" s="7">
        <v>1994.68</v>
      </c>
      <c r="E50" s="2"/>
      <c r="F50" s="6">
        <f t="shared" si="13"/>
        <v>8.2947499740097755E-2</v>
      </c>
      <c r="G50" s="2"/>
      <c r="H50" s="7">
        <v>990</v>
      </c>
      <c r="I50" s="2"/>
      <c r="J50" s="6">
        <f t="shared" si="14"/>
        <v>2.4882499308819462E-2</v>
      </c>
      <c r="K50" s="2"/>
      <c r="L50" s="7">
        <f t="shared" si="15"/>
        <v>1004.6800000000001</v>
      </c>
      <c r="M50" s="2"/>
      <c r="N50" s="6">
        <f t="shared" si="16"/>
        <v>1.0148282828282829</v>
      </c>
      <c r="O50" s="11"/>
      <c r="P50" s="7">
        <v>22288.9</v>
      </c>
      <c r="Q50" s="2"/>
      <c r="R50" s="6">
        <f t="shared" si="17"/>
        <v>0.10701107400826711</v>
      </c>
      <c r="S50" s="2"/>
      <c r="T50" s="7">
        <v>8910</v>
      </c>
      <c r="U50" s="2"/>
      <c r="V50" s="6">
        <f t="shared" si="18"/>
        <v>2.1086261980830672E-2</v>
      </c>
      <c r="W50" s="2"/>
      <c r="X50" s="7">
        <f t="shared" si="19"/>
        <v>13378.900000000001</v>
      </c>
      <c r="Y50" s="2"/>
      <c r="Z50" s="6">
        <f t="shared" si="20"/>
        <v>1.5015600448933784</v>
      </c>
    </row>
    <row r="51" spans="1:26" s="24" customFormat="1" hidden="1" outlineLevel="2" x14ac:dyDescent="0.25">
      <c r="A51" s="26"/>
      <c r="B51" s="11" t="str">
        <f>CONCATENATE("          ", "6114", " - ", "STATE UNEMPLOYMENT INSURANCE")</f>
        <v xml:space="preserve">          6114 - STATE UNEMPLOYMENT INSURANCE</v>
      </c>
      <c r="C51" s="11"/>
      <c r="D51" s="7">
        <v>22.32</v>
      </c>
      <c r="E51" s="2"/>
      <c r="F51" s="6">
        <f t="shared" si="13"/>
        <v>9.2816301070797408E-4</v>
      </c>
      <c r="G51" s="2"/>
      <c r="H51" s="7">
        <v>24.02272</v>
      </c>
      <c r="I51" s="2"/>
      <c r="J51" s="6">
        <f t="shared" si="14"/>
        <v>6.0378314524844802E-4</v>
      </c>
      <c r="K51" s="2"/>
      <c r="L51" s="7">
        <f t="shared" si="15"/>
        <v>-1.7027199999999993</v>
      </c>
      <c r="M51" s="2"/>
      <c r="N51" s="6">
        <f t="shared" si="16"/>
        <v>-7.0879567342915353E-2</v>
      </c>
      <c r="O51" s="11"/>
      <c r="P51" s="7">
        <v>265.12</v>
      </c>
      <c r="Q51" s="2"/>
      <c r="R51" s="6">
        <f t="shared" si="17"/>
        <v>1.2728656838637965E-3</v>
      </c>
      <c r="S51" s="2"/>
      <c r="T51" s="7">
        <v>227.50883999999999</v>
      </c>
      <c r="U51" s="2"/>
      <c r="V51" s="6">
        <f t="shared" si="18"/>
        <v>5.3841874334398297E-4</v>
      </c>
      <c r="W51" s="2"/>
      <c r="X51" s="7">
        <f t="shared" si="19"/>
        <v>37.611160000000012</v>
      </c>
      <c r="Y51" s="2"/>
      <c r="Z51" s="6">
        <f t="shared" si="20"/>
        <v>0.16531735645964357</v>
      </c>
    </row>
    <row r="52" spans="1:26" s="24" customFormat="1" hidden="1" outlineLevel="2" x14ac:dyDescent="0.25">
      <c r="A52" s="26"/>
      <c r="B52" s="11" t="str">
        <f>CONCATENATE("          ", "6115", " - ", "P.E.R.S.")</f>
        <v xml:space="preserve">          6115 - P.E.R.S.</v>
      </c>
      <c r="C52" s="11"/>
      <c r="D52" s="7">
        <v>362.12</v>
      </c>
      <c r="E52" s="2"/>
      <c r="F52" s="6">
        <f t="shared" si="13"/>
        <v>1.505852999272274E-2</v>
      </c>
      <c r="G52" s="2"/>
      <c r="H52" s="7">
        <v>201.43846153846201</v>
      </c>
      <c r="I52" s="2"/>
      <c r="J52" s="6">
        <f t="shared" si="14"/>
        <v>5.0629215959600371E-3</v>
      </c>
      <c r="K52" s="2"/>
      <c r="L52" s="7">
        <f t="shared" si="15"/>
        <v>160.681538461538</v>
      </c>
      <c r="M52" s="2"/>
      <c r="N52" s="6">
        <f t="shared" si="16"/>
        <v>0.79767059991598466</v>
      </c>
      <c r="O52" s="11"/>
      <c r="P52" s="7">
        <v>3494.45</v>
      </c>
      <c r="Q52" s="2"/>
      <c r="R52" s="6">
        <f t="shared" si="17"/>
        <v>1.6777178217327413E-2</v>
      </c>
      <c r="S52" s="2"/>
      <c r="T52" s="7">
        <v>1964.0250000000001</v>
      </c>
      <c r="U52" s="2"/>
      <c r="V52" s="6">
        <f t="shared" si="18"/>
        <v>4.6480298189563365E-3</v>
      </c>
      <c r="W52" s="2"/>
      <c r="X52" s="7">
        <f t="shared" si="19"/>
        <v>1530.4249999999997</v>
      </c>
      <c r="Y52" s="2"/>
      <c r="Z52" s="6">
        <f t="shared" si="20"/>
        <v>0.77922887946945663</v>
      </c>
    </row>
    <row r="53" spans="1:26" s="24" customFormat="1" hidden="1" outlineLevel="2" x14ac:dyDescent="0.25">
      <c r="A53" s="26"/>
      <c r="B53" s="11" t="str">
        <f>CONCATENATE("          ", "6116", " - ", "EDUCATIONAL BENEFITS")</f>
        <v xml:space="preserve">          6116 - EDUCATIONAL BENEFITS</v>
      </c>
      <c r="C53" s="11"/>
      <c r="D53" s="7"/>
      <c r="E53" s="2"/>
      <c r="F53" s="6">
        <f t="shared" si="13"/>
        <v>0</v>
      </c>
      <c r="G53" s="2"/>
      <c r="H53" s="7">
        <v>0</v>
      </c>
      <c r="I53" s="2"/>
      <c r="J53" s="6">
        <f t="shared" si="14"/>
        <v>0</v>
      </c>
      <c r="K53" s="2"/>
      <c r="L53" s="7">
        <f t="shared" si="15"/>
        <v>0</v>
      </c>
      <c r="M53" s="2"/>
      <c r="N53" s="6">
        <f t="shared" si="16"/>
        <v>0</v>
      </c>
      <c r="O53" s="11"/>
      <c r="P53" s="7"/>
      <c r="Q53" s="2"/>
      <c r="R53" s="6">
        <f t="shared" si="17"/>
        <v>0</v>
      </c>
      <c r="S53" s="2"/>
      <c r="T53" s="7">
        <v>0</v>
      </c>
      <c r="U53" s="2"/>
      <c r="V53" s="6">
        <f t="shared" si="18"/>
        <v>0</v>
      </c>
      <c r="W53" s="2"/>
      <c r="X53" s="7">
        <f t="shared" si="19"/>
        <v>0</v>
      </c>
      <c r="Y53" s="2"/>
      <c r="Z53" s="6">
        <f t="shared" si="20"/>
        <v>0</v>
      </c>
    </row>
    <row r="54" spans="1:26" s="24" customFormat="1" hidden="1" outlineLevel="2" x14ac:dyDescent="0.25">
      <c r="A54" s="26"/>
      <c r="B54" s="11" t="str">
        <f>CONCATENATE("          ", "6118", " - ", "VACATION")</f>
        <v xml:space="preserve">          6118 - VACATION</v>
      </c>
      <c r="C54" s="11"/>
      <c r="D54" s="7">
        <v>342.56</v>
      </c>
      <c r="E54" s="2"/>
      <c r="F54" s="6">
        <f t="shared" si="13"/>
        <v>1.4245139827424893E-2</v>
      </c>
      <c r="G54" s="2"/>
      <c r="H54" s="7">
        <v>117.115384615385</v>
      </c>
      <c r="I54" s="2"/>
      <c r="J54" s="6">
        <f t="shared" si="14"/>
        <v>2.9435590674186289E-3</v>
      </c>
      <c r="K54" s="2"/>
      <c r="L54" s="7">
        <f t="shared" si="15"/>
        <v>225.44461538461502</v>
      </c>
      <c r="M54" s="2"/>
      <c r="N54" s="6">
        <f t="shared" si="16"/>
        <v>1.9249786535303683</v>
      </c>
      <c r="O54" s="11"/>
      <c r="P54" s="7">
        <v>4269.62</v>
      </c>
      <c r="Q54" s="2"/>
      <c r="R54" s="6">
        <f t="shared" si="17"/>
        <v>2.0498841208277545E-2</v>
      </c>
      <c r="S54" s="2"/>
      <c r="T54" s="7">
        <v>1141.875</v>
      </c>
      <c r="U54" s="2"/>
      <c r="V54" s="6">
        <f t="shared" si="18"/>
        <v>2.7023429179978699E-3</v>
      </c>
      <c r="W54" s="2"/>
      <c r="X54" s="7">
        <f t="shared" si="19"/>
        <v>3127.7449999999999</v>
      </c>
      <c r="Y54" s="2"/>
      <c r="Z54" s="6">
        <f t="shared" si="20"/>
        <v>2.7391308155446086</v>
      </c>
    </row>
    <row r="55" spans="1:26" s="24" customFormat="1" hidden="1" outlineLevel="2" x14ac:dyDescent="0.25">
      <c r="A55" s="26"/>
      <c r="B55" s="11" t="str">
        <f>CONCATENATE("          ", "6119", " - ", "SICK LEAVE")</f>
        <v xml:space="preserve">          6119 - SICK LEAVE</v>
      </c>
      <c r="C55" s="11"/>
      <c r="D55" s="7">
        <v>216.08</v>
      </c>
      <c r="E55" s="2"/>
      <c r="F55" s="6">
        <f t="shared" si="13"/>
        <v>8.9855494334130405E-3</v>
      </c>
      <c r="G55" s="2"/>
      <c r="H55" s="7">
        <v>186.08738461538499</v>
      </c>
      <c r="I55" s="2"/>
      <c r="J55" s="6">
        <f t="shared" si="14"/>
        <v>4.6770901202750894E-3</v>
      </c>
      <c r="K55" s="2"/>
      <c r="L55" s="7">
        <f t="shared" si="15"/>
        <v>29.992615384615021</v>
      </c>
      <c r="M55" s="2"/>
      <c r="N55" s="6">
        <f t="shared" si="16"/>
        <v>0.16117489880684446</v>
      </c>
      <c r="O55" s="11"/>
      <c r="P55" s="7">
        <v>3443.75</v>
      </c>
      <c r="Q55" s="2"/>
      <c r="R55" s="6">
        <f t="shared" si="17"/>
        <v>1.65337628198776E-2</v>
      </c>
      <c r="S55" s="2"/>
      <c r="T55" s="7">
        <v>1788.5340000000001</v>
      </c>
      <c r="U55" s="2"/>
      <c r="V55" s="6">
        <f t="shared" si="18"/>
        <v>4.2327156549520767E-3</v>
      </c>
      <c r="W55" s="2"/>
      <c r="X55" s="7">
        <f t="shared" si="19"/>
        <v>1655.2159999999999</v>
      </c>
      <c r="Y55" s="2"/>
      <c r="Z55" s="6">
        <f t="shared" si="20"/>
        <v>0.92545962223810108</v>
      </c>
    </row>
    <row r="56" spans="1:26" s="24" customFormat="1" hidden="1" outlineLevel="2" x14ac:dyDescent="0.25">
      <c r="A56" s="26"/>
      <c r="B56" s="11" t="str">
        <f>CONCATENATE("          ", "6156", " - ", "EMPLOYEE MEALS")</f>
        <v xml:space="preserve">          6156 - EMPLOYEE MEALS</v>
      </c>
      <c r="C56" s="11"/>
      <c r="D56" s="7">
        <v>123.09</v>
      </c>
      <c r="E56" s="2"/>
      <c r="F56" s="6">
        <f t="shared" si="13"/>
        <v>5.118619399105938E-3</v>
      </c>
      <c r="G56" s="2"/>
      <c r="H56" s="7">
        <v>175</v>
      </c>
      <c r="I56" s="2"/>
      <c r="J56" s="6">
        <f t="shared" si="14"/>
        <v>4.3984215949933398E-3</v>
      </c>
      <c r="K56" s="2"/>
      <c r="L56" s="7">
        <f t="shared" si="15"/>
        <v>-51.91</v>
      </c>
      <c r="M56" s="2"/>
      <c r="N56" s="6">
        <f t="shared" si="16"/>
        <v>-0.29662857142857141</v>
      </c>
      <c r="O56" s="11"/>
      <c r="P56" s="7">
        <v>1345.81</v>
      </c>
      <c r="Q56" s="2"/>
      <c r="R56" s="6">
        <f t="shared" si="17"/>
        <v>6.4613585018132771E-3</v>
      </c>
      <c r="S56" s="2"/>
      <c r="T56" s="7">
        <v>1575</v>
      </c>
      <c r="U56" s="2"/>
      <c r="V56" s="6">
        <f t="shared" si="18"/>
        <v>3.7273695420660278E-3</v>
      </c>
      <c r="W56" s="2"/>
      <c r="X56" s="7">
        <f t="shared" si="19"/>
        <v>-229.19000000000005</v>
      </c>
      <c r="Y56" s="2"/>
      <c r="Z56" s="6">
        <f t="shared" si="20"/>
        <v>-0.14551746031746035</v>
      </c>
    </row>
    <row r="57" spans="1:26" s="25" customFormat="1" outlineLevel="1" collapsed="1" x14ac:dyDescent="0.25">
      <c r="A57" s="27"/>
      <c r="B57" s="13" t="str">
        <f>CONCATENATE("     ","*Payroll                                          ")</f>
        <v xml:space="preserve">     *Payroll                                          </v>
      </c>
      <c r="C57" s="13"/>
      <c r="D57" s="1">
        <f>SUM(OSRRefD22_1x_0)</f>
        <v>8658.17</v>
      </c>
      <c r="E57" s="1"/>
      <c r="F57" s="5">
        <f t="shared" ref="F57:F67" si="21">IF(D$12=0,0,D57/D$12)</f>
        <v>0.36004449526977866</v>
      </c>
      <c r="G57" s="1"/>
      <c r="H57" s="1">
        <f>SUM(OSRRefH22_1x_0)</f>
        <v>9005.2769230769209</v>
      </c>
      <c r="I57" s="1"/>
      <c r="J57" s="5">
        <f t="shared" ref="J57:J67" si="22">IF(H$12=0,0,H57/H$12)</f>
        <v>0.22633716849918117</v>
      </c>
      <c r="K57" s="1"/>
      <c r="L57" s="1">
        <f t="shared" ref="L57:L67" si="23">+D57-H57</f>
        <v>-347.10692307692079</v>
      </c>
      <c r="M57" s="1"/>
      <c r="N57" s="5">
        <f t="shared" ref="N57:N67" si="24">IF(H57=0,0,L57/H57)</f>
        <v>-3.8544836104642675E-2</v>
      </c>
      <c r="O57" s="13"/>
      <c r="P57" s="1">
        <f>SUM(OSRRefP22_1x_0)</f>
        <v>74450.049999999988</v>
      </c>
      <c r="Q57" s="1"/>
      <c r="R57" s="5">
        <f t="shared" ref="R57:R67" si="25">IF(P$12=0,0,P57/P$12)</f>
        <v>0.35744158798636028</v>
      </c>
      <c r="S57" s="1"/>
      <c r="T57" s="1">
        <f>SUM(OSRRefT22_1x_0)</f>
        <v>85219.65</v>
      </c>
      <c r="U57" s="1"/>
      <c r="V57" s="5">
        <f t="shared" ref="V57:V67" si="26">IF(T$12=0,0,T57/T$12)</f>
        <v>0.2016794462193823</v>
      </c>
      <c r="W57" s="1"/>
      <c r="X57" s="1">
        <f t="shared" ref="X57:X67" si="27">+P57-T57</f>
        <v>-10769.600000000006</v>
      </c>
      <c r="Y57" s="1"/>
      <c r="Z57" s="5">
        <f t="shared" ref="Z57:Z67" si="28">IF(T57=0,0,X57/T57)</f>
        <v>-0.12637460961175043</v>
      </c>
    </row>
    <row r="58" spans="1:26" s="24" customFormat="1" hidden="1" outlineLevel="2" x14ac:dyDescent="0.25">
      <c r="A58" s="26"/>
      <c r="B58" s="11" t="str">
        <f>CONCATENATE("          ", "6001", " - ", "ADMINISTRATIVE SALARIES")</f>
        <v xml:space="preserve">          6001 - ADMINISTRATIVE SALARIES</v>
      </c>
      <c r="C58" s="11"/>
      <c r="D58" s="7"/>
      <c r="E58" s="2"/>
      <c r="F58" s="6">
        <f t="shared" si="21"/>
        <v>0</v>
      </c>
      <c r="G58" s="2"/>
      <c r="H58" s="7">
        <v>0</v>
      </c>
      <c r="I58" s="2"/>
      <c r="J58" s="6">
        <f t="shared" si="22"/>
        <v>0</v>
      </c>
      <c r="K58" s="2"/>
      <c r="L58" s="7">
        <f t="shared" si="23"/>
        <v>0</v>
      </c>
      <c r="M58" s="2"/>
      <c r="N58" s="6">
        <f t="shared" si="24"/>
        <v>0</v>
      </c>
      <c r="O58" s="11"/>
      <c r="P58" s="7"/>
      <c r="Q58" s="2"/>
      <c r="R58" s="6">
        <f t="shared" si="25"/>
        <v>0</v>
      </c>
      <c r="S58" s="2"/>
      <c r="T58" s="7">
        <v>0</v>
      </c>
      <c r="U58" s="2"/>
      <c r="V58" s="6">
        <f t="shared" si="26"/>
        <v>0</v>
      </c>
      <c r="W58" s="2"/>
      <c r="X58" s="7">
        <f t="shared" si="27"/>
        <v>0</v>
      </c>
      <c r="Y58" s="2"/>
      <c r="Z58" s="6">
        <f t="shared" si="28"/>
        <v>0</v>
      </c>
    </row>
    <row r="59" spans="1:26" s="24" customFormat="1" hidden="1" outlineLevel="2" x14ac:dyDescent="0.25">
      <c r="A59" s="26"/>
      <c r="B59" s="11" t="str">
        <f>CONCATENATE("          ", "6002", " - ", "STAFF SALARIES")</f>
        <v xml:space="preserve">          6002 - STAFF SALARIES</v>
      </c>
      <c r="C59" s="11"/>
      <c r="D59" s="7">
        <v>4759.62</v>
      </c>
      <c r="E59" s="2"/>
      <c r="F59" s="6">
        <f t="shared" si="21"/>
        <v>0.19792577190976199</v>
      </c>
      <c r="G59" s="2"/>
      <c r="H59" s="7">
        <v>2108.0769230769201</v>
      </c>
      <c r="I59" s="2"/>
      <c r="J59" s="6">
        <f t="shared" si="22"/>
        <v>5.2984063213535076E-2</v>
      </c>
      <c r="K59" s="2"/>
      <c r="L59" s="7">
        <f t="shared" si="23"/>
        <v>2651.5430769230798</v>
      </c>
      <c r="M59" s="2"/>
      <c r="N59" s="6">
        <f t="shared" si="24"/>
        <v>1.2578018609742778</v>
      </c>
      <c r="O59" s="11"/>
      <c r="P59" s="7">
        <v>42854.879999999997</v>
      </c>
      <c r="Q59" s="2"/>
      <c r="R59" s="6">
        <f t="shared" si="25"/>
        <v>0.20575024946477419</v>
      </c>
      <c r="S59" s="2"/>
      <c r="T59" s="7">
        <v>20553.75</v>
      </c>
      <c r="U59" s="2"/>
      <c r="V59" s="6">
        <f t="shared" si="26"/>
        <v>4.8642172523961663E-2</v>
      </c>
      <c r="W59" s="2"/>
      <c r="X59" s="7">
        <f t="shared" si="27"/>
        <v>22301.129999999997</v>
      </c>
      <c r="Y59" s="2"/>
      <c r="Z59" s="6">
        <f t="shared" si="28"/>
        <v>1.0850151432220396</v>
      </c>
    </row>
    <row r="60" spans="1:26" s="24" customFormat="1" hidden="1" outlineLevel="2" x14ac:dyDescent="0.25">
      <c r="A60" s="26"/>
      <c r="B60" s="11" t="str">
        <f>CONCATENATE("          ", "6003", " - ", "STAFF HOURLY-9 MONTH")</f>
        <v xml:space="preserve">          6003 - STAFF HOURLY-9 MONTH</v>
      </c>
      <c r="C60" s="11"/>
      <c r="D60" s="7"/>
      <c r="E60" s="2"/>
      <c r="F60" s="6">
        <f t="shared" si="21"/>
        <v>0</v>
      </c>
      <c r="G60" s="2"/>
      <c r="H60" s="7">
        <v>0</v>
      </c>
      <c r="I60" s="2"/>
      <c r="J60" s="6">
        <f t="shared" si="22"/>
        <v>0</v>
      </c>
      <c r="K60" s="2"/>
      <c r="L60" s="7">
        <f t="shared" si="23"/>
        <v>0</v>
      </c>
      <c r="M60" s="2"/>
      <c r="N60" s="6">
        <f t="shared" si="24"/>
        <v>0</v>
      </c>
      <c r="O60" s="11"/>
      <c r="P60" s="7"/>
      <c r="Q60" s="2"/>
      <c r="R60" s="6">
        <f t="shared" si="25"/>
        <v>0</v>
      </c>
      <c r="S60" s="2"/>
      <c r="T60" s="7">
        <v>0</v>
      </c>
      <c r="U60" s="2"/>
      <c r="V60" s="6">
        <f t="shared" si="26"/>
        <v>0</v>
      </c>
      <c r="W60" s="2"/>
      <c r="X60" s="7">
        <f t="shared" si="27"/>
        <v>0</v>
      </c>
      <c r="Y60" s="2"/>
      <c r="Z60" s="6">
        <f t="shared" si="28"/>
        <v>0</v>
      </c>
    </row>
    <row r="61" spans="1:26" s="24" customFormat="1" hidden="1" outlineLevel="2" x14ac:dyDescent="0.25">
      <c r="A61" s="26"/>
      <c r="B61" s="11" t="str">
        <f>CONCATENATE("          ", "6004", " - ", "STAFF HOURLY")</f>
        <v xml:space="preserve">          6004 - STAFF HOURLY</v>
      </c>
      <c r="C61" s="11"/>
      <c r="D61" s="7"/>
      <c r="E61" s="2"/>
      <c r="F61" s="6">
        <f t="shared" si="21"/>
        <v>0</v>
      </c>
      <c r="G61" s="2"/>
      <c r="H61" s="7">
        <v>1359.6</v>
      </c>
      <c r="I61" s="2"/>
      <c r="J61" s="6">
        <f t="shared" si="22"/>
        <v>3.4171965717445393E-2</v>
      </c>
      <c r="K61" s="2"/>
      <c r="L61" s="7">
        <f t="shared" si="23"/>
        <v>-1359.6</v>
      </c>
      <c r="M61" s="2"/>
      <c r="N61" s="6">
        <f t="shared" si="24"/>
        <v>-1</v>
      </c>
      <c r="O61" s="11"/>
      <c r="P61" s="7">
        <v>3456.21</v>
      </c>
      <c r="Q61" s="2"/>
      <c r="R61" s="6">
        <f t="shared" si="25"/>
        <v>1.6593584434319901E-2</v>
      </c>
      <c r="S61" s="2"/>
      <c r="T61" s="7">
        <v>12998.7</v>
      </c>
      <c r="U61" s="2"/>
      <c r="V61" s="6">
        <f t="shared" si="26"/>
        <v>3.0762513312034081E-2</v>
      </c>
      <c r="W61" s="2"/>
      <c r="X61" s="7">
        <f t="shared" si="27"/>
        <v>-9542.4900000000016</v>
      </c>
      <c r="Y61" s="2"/>
      <c r="Z61" s="6">
        <f t="shared" si="28"/>
        <v>-0.73411110341803421</v>
      </c>
    </row>
    <row r="62" spans="1:26" s="24" customFormat="1" hidden="1" outlineLevel="2" x14ac:dyDescent="0.25">
      <c r="A62" s="26"/>
      <c r="B62" s="11" t="str">
        <f>CONCATENATE("          ", "6005", " - ", "TEMPORARY WAGES-HOURLY")</f>
        <v xml:space="preserve">          6005 - TEMPORARY WAGES-HOURLY</v>
      </c>
      <c r="C62" s="11"/>
      <c r="D62" s="7">
        <v>2356.65</v>
      </c>
      <c r="E62" s="2"/>
      <c r="F62" s="6">
        <f t="shared" si="21"/>
        <v>9.7999792078178632E-2</v>
      </c>
      <c r="G62" s="2"/>
      <c r="H62" s="7">
        <v>0</v>
      </c>
      <c r="I62" s="2"/>
      <c r="J62" s="6">
        <f t="shared" si="22"/>
        <v>0</v>
      </c>
      <c r="K62" s="2"/>
      <c r="L62" s="7">
        <f t="shared" si="23"/>
        <v>2356.65</v>
      </c>
      <c r="M62" s="2"/>
      <c r="N62" s="6">
        <f t="shared" si="24"/>
        <v>0</v>
      </c>
      <c r="O62" s="11"/>
      <c r="P62" s="7">
        <v>13965.45</v>
      </c>
      <c r="Q62" s="2"/>
      <c r="R62" s="6">
        <f t="shared" si="25"/>
        <v>6.7049419375059066E-2</v>
      </c>
      <c r="S62" s="2"/>
      <c r="T62" s="7">
        <v>0</v>
      </c>
      <c r="U62" s="2"/>
      <c r="V62" s="6">
        <f t="shared" si="26"/>
        <v>0</v>
      </c>
      <c r="W62" s="2"/>
      <c r="X62" s="7">
        <f t="shared" si="27"/>
        <v>13965.45</v>
      </c>
      <c r="Y62" s="2"/>
      <c r="Z62" s="6">
        <f t="shared" si="28"/>
        <v>0</v>
      </c>
    </row>
    <row r="63" spans="1:26" s="24" customFormat="1" hidden="1" outlineLevel="2" x14ac:dyDescent="0.25">
      <c r="A63" s="26"/>
      <c r="B63" s="11" t="str">
        <f>CONCATENATE("          ", "6006", " - ", "TEMPORARY PART TIME")</f>
        <v xml:space="preserve">          6006 - TEMPORARY PART TIME</v>
      </c>
      <c r="C63" s="11"/>
      <c r="D63" s="7">
        <v>203.51</v>
      </c>
      <c r="E63" s="2"/>
      <c r="F63" s="6">
        <f t="shared" si="21"/>
        <v>8.4628339744256178E-3</v>
      </c>
      <c r="G63" s="2"/>
      <c r="H63" s="7">
        <v>0</v>
      </c>
      <c r="I63" s="2"/>
      <c r="J63" s="6">
        <f t="shared" si="22"/>
        <v>0</v>
      </c>
      <c r="K63" s="2"/>
      <c r="L63" s="7">
        <f t="shared" si="23"/>
        <v>203.51</v>
      </c>
      <c r="M63" s="2"/>
      <c r="N63" s="6">
        <f t="shared" si="24"/>
        <v>0</v>
      </c>
      <c r="O63" s="11"/>
      <c r="P63" s="7">
        <v>507.15</v>
      </c>
      <c r="Q63" s="2"/>
      <c r="R63" s="6">
        <f t="shared" si="25"/>
        <v>2.4348741383959129E-3</v>
      </c>
      <c r="S63" s="2"/>
      <c r="T63" s="7">
        <v>0</v>
      </c>
      <c r="U63" s="2"/>
      <c r="V63" s="6">
        <f t="shared" si="26"/>
        <v>0</v>
      </c>
      <c r="W63" s="2"/>
      <c r="X63" s="7">
        <f t="shared" si="27"/>
        <v>507.15</v>
      </c>
      <c r="Y63" s="2"/>
      <c r="Z63" s="6">
        <f t="shared" si="28"/>
        <v>0</v>
      </c>
    </row>
    <row r="64" spans="1:26" s="24" customFormat="1" hidden="1" outlineLevel="2" x14ac:dyDescent="0.25">
      <c r="A64" s="26"/>
      <c r="B64" s="11" t="str">
        <f>CONCATENATE("          ", "6007", " - ", "STUDENT HOURLY")</f>
        <v xml:space="preserve">          6007 - STUDENT HOURLY</v>
      </c>
      <c r="C64" s="11"/>
      <c r="D64" s="7">
        <v>1338.39</v>
      </c>
      <c r="E64" s="2"/>
      <c r="F64" s="6">
        <f t="shared" si="21"/>
        <v>5.5656097307412437E-2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1338.39</v>
      </c>
      <c r="M64" s="2"/>
      <c r="N64" s="6">
        <f t="shared" si="24"/>
        <v>0</v>
      </c>
      <c r="O64" s="11"/>
      <c r="P64" s="7">
        <v>11747.33</v>
      </c>
      <c r="Q64" s="2"/>
      <c r="R64" s="6">
        <f t="shared" si="25"/>
        <v>5.6400019742092987E-2</v>
      </c>
      <c r="S64" s="2"/>
      <c r="T64" s="7">
        <v>11655</v>
      </c>
      <c r="U64" s="2"/>
      <c r="V64" s="6">
        <f t="shared" si="26"/>
        <v>2.7582534611288605E-2</v>
      </c>
      <c r="W64" s="2"/>
      <c r="X64" s="7">
        <f t="shared" si="27"/>
        <v>92.329999999999927</v>
      </c>
      <c r="Y64" s="2"/>
      <c r="Z64" s="6">
        <f t="shared" si="28"/>
        <v>7.9219219219219157E-3</v>
      </c>
    </row>
    <row r="65" spans="1:26" s="24" customFormat="1" hidden="1" outlineLevel="2" x14ac:dyDescent="0.25">
      <c r="A65" s="26"/>
      <c r="B65" s="11" t="str">
        <f>CONCATENATE("          ", "6008", " - ", "STUDENT HOURLY-FICA EXEMPT")</f>
        <v xml:space="preserve">          6008 - STUDENT HOURLY-FICA EXEMPT</v>
      </c>
      <c r="C65" s="11"/>
      <c r="D65" s="7"/>
      <c r="E65" s="2"/>
      <c r="F65" s="6">
        <f t="shared" si="21"/>
        <v>0</v>
      </c>
      <c r="G65" s="2"/>
      <c r="H65" s="7">
        <v>5537.6</v>
      </c>
      <c r="I65" s="2"/>
      <c r="J65" s="6">
        <f t="shared" si="22"/>
        <v>0.13918113956820069</v>
      </c>
      <c r="K65" s="2"/>
      <c r="L65" s="7">
        <f t="shared" si="23"/>
        <v>-5537.6</v>
      </c>
      <c r="M65" s="2"/>
      <c r="N65" s="6">
        <f t="shared" si="24"/>
        <v>-1</v>
      </c>
      <c r="O65" s="11"/>
      <c r="P65" s="7">
        <v>1919.03</v>
      </c>
      <c r="Q65" s="2"/>
      <c r="R65" s="6">
        <f t="shared" si="25"/>
        <v>9.2134408317182462E-3</v>
      </c>
      <c r="S65" s="2"/>
      <c r="T65" s="7">
        <v>40012.199999999997</v>
      </c>
      <c r="U65" s="2"/>
      <c r="V65" s="6">
        <f t="shared" si="26"/>
        <v>9.4692225772097974E-2</v>
      </c>
      <c r="W65" s="2"/>
      <c r="X65" s="7">
        <f t="shared" si="27"/>
        <v>-38093.17</v>
      </c>
      <c r="Y65" s="2"/>
      <c r="Z65" s="6">
        <f t="shared" si="28"/>
        <v>-0.9520388781421667</v>
      </c>
    </row>
    <row r="66" spans="1:26" s="24" customFormat="1" hidden="1" outlineLevel="2" x14ac:dyDescent="0.25">
      <c r="A66" s="26"/>
      <c r="B66" s="11" t="str">
        <f>CONCATENATE("          ", "6009", " - ", "TEMPORARY-SEASONAL")</f>
        <v xml:space="preserve">          6009 - TEMPORARY-SEASONAL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6"/>
      <c r="B67" s="11" t="str">
        <f>CONCATENATE("          ", "6010", " - ", "GRATUITY")</f>
        <v xml:space="preserve">          6010 - GRATUITY</v>
      </c>
      <c r="C67" s="11"/>
      <c r="D67" s="7"/>
      <c r="E67" s="2"/>
      <c r="F67" s="6">
        <f t="shared" si="21"/>
        <v>0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0</v>
      </c>
      <c r="M67" s="2"/>
      <c r="N67" s="6">
        <f t="shared" si="24"/>
        <v>0</v>
      </c>
      <c r="O67" s="11"/>
      <c r="P67" s="7"/>
      <c r="Q67" s="2"/>
      <c r="R67" s="6">
        <f t="shared" si="25"/>
        <v>0</v>
      </c>
      <c r="S67" s="2"/>
      <c r="T67" s="7">
        <v>0</v>
      </c>
      <c r="U67" s="2"/>
      <c r="V67" s="6">
        <f t="shared" si="26"/>
        <v>0</v>
      </c>
      <c r="W67" s="2"/>
      <c r="X67" s="7">
        <f t="shared" si="27"/>
        <v>0</v>
      </c>
      <c r="Y67" s="2"/>
      <c r="Z67" s="6">
        <f t="shared" si="28"/>
        <v>0</v>
      </c>
    </row>
    <row r="68" spans="1:26" s="25" customFormat="1" outlineLevel="1" collapsed="1" x14ac:dyDescent="0.25">
      <c r="A68" s="27"/>
      <c r="B68" s="13" t="str">
        <f>CONCATENATE("     ","Advertising/Promo                                 ")</f>
        <v xml:space="preserve">     Advertising/Promo                                 </v>
      </c>
      <c r="C68" s="13"/>
      <c r="D68" s="1">
        <f>SUM(OSRRefD22_2x_0)</f>
        <v>0</v>
      </c>
      <c r="E68" s="1"/>
      <c r="F68" s="5">
        <f t="shared" ref="F68:F82" si="29">IF(D$12=0,0,D68/D$12)</f>
        <v>0</v>
      </c>
      <c r="G68" s="1"/>
      <c r="H68" s="1">
        <f>SUM(OSRRefH22_2x_0)</f>
        <v>50</v>
      </c>
      <c r="I68" s="1"/>
      <c r="J68" s="5">
        <f t="shared" ref="J68:J82" si="30">IF(H$12=0,0,H68/H$12)</f>
        <v>1.2566918842838112E-3</v>
      </c>
      <c r="K68" s="1"/>
      <c r="L68" s="1">
        <f t="shared" ref="L68:L82" si="31">+D68-H68</f>
        <v>-50</v>
      </c>
      <c r="M68" s="1"/>
      <c r="N68" s="5">
        <f t="shared" ref="N68:N82" si="32">IF(H68=0,0,L68/H68)</f>
        <v>-1</v>
      </c>
      <c r="O68" s="13"/>
      <c r="P68" s="1">
        <f>SUM(OSRRefP22_2x_0)</f>
        <v>1024.2</v>
      </c>
      <c r="Q68" s="1"/>
      <c r="R68" s="5">
        <f t="shared" ref="R68:R82" si="33">IF(P$12=0,0,P68/P$12)</f>
        <v>4.9172790940453402E-3</v>
      </c>
      <c r="S68" s="1"/>
      <c r="T68" s="1">
        <f>SUM(OSRRefT22_2x_0)</f>
        <v>450</v>
      </c>
      <c r="U68" s="1"/>
      <c r="V68" s="5">
        <f t="shared" ref="V68:V82" si="34">IF(T$12=0,0,T68/T$12)</f>
        <v>1.0649627263045794E-3</v>
      </c>
      <c r="W68" s="1"/>
      <c r="X68" s="1">
        <f t="shared" ref="X68:X82" si="35">+P68-T68</f>
        <v>574.20000000000005</v>
      </c>
      <c r="Y68" s="1"/>
      <c r="Z68" s="5">
        <f t="shared" ref="Z68:Z82" si="36">IF(T68=0,0,X68/T68)</f>
        <v>1.276</v>
      </c>
    </row>
    <row r="69" spans="1:26" s="24" customFormat="1" hidden="1" outlineLevel="2" x14ac:dyDescent="0.25">
      <c r="A69" s="26"/>
      <c r="B69" s="11" t="str">
        <f>CONCATENATE("          ", "6362", " - ", "ADVERTISING EXPENSE")</f>
        <v xml:space="preserve">          6362 - ADVERTISING EXPENSE</v>
      </c>
      <c r="C69" s="11"/>
      <c r="D69" s="7"/>
      <c r="E69" s="2"/>
      <c r="F69" s="6">
        <f t="shared" si="29"/>
        <v>0</v>
      </c>
      <c r="G69" s="2"/>
      <c r="H69" s="7">
        <v>50</v>
      </c>
      <c r="I69" s="2"/>
      <c r="J69" s="6">
        <f t="shared" si="30"/>
        <v>1.2566918842838112E-3</v>
      </c>
      <c r="K69" s="2"/>
      <c r="L69" s="7">
        <f t="shared" si="31"/>
        <v>-50</v>
      </c>
      <c r="M69" s="2"/>
      <c r="N69" s="6">
        <f t="shared" si="32"/>
        <v>-1</v>
      </c>
      <c r="O69" s="11"/>
      <c r="P69" s="7">
        <v>1024.2</v>
      </c>
      <c r="Q69" s="2"/>
      <c r="R69" s="6">
        <f t="shared" si="33"/>
        <v>4.9172790940453402E-3</v>
      </c>
      <c r="S69" s="2"/>
      <c r="T69" s="7">
        <v>450</v>
      </c>
      <c r="U69" s="2"/>
      <c r="V69" s="6">
        <f t="shared" si="34"/>
        <v>1.0649627263045794E-3</v>
      </c>
      <c r="W69" s="2"/>
      <c r="X69" s="7">
        <f t="shared" si="35"/>
        <v>574.20000000000005</v>
      </c>
      <c r="Y69" s="2"/>
      <c r="Z69" s="6">
        <f t="shared" si="36"/>
        <v>1.276</v>
      </c>
    </row>
    <row r="70" spans="1:26" s="25" customFormat="1" outlineLevel="1" collapsed="1" x14ac:dyDescent="0.25">
      <c r="A70" s="27"/>
      <c r="B70" s="13" t="str">
        <f>CONCATENATE("     ","Bad Debts/Over/Short                              ")</f>
        <v xml:space="preserve">     Bad Debts/Over/Short                              </v>
      </c>
      <c r="C70" s="13"/>
      <c r="D70" s="1">
        <f>SUM(OSRRefD22_3x_0)</f>
        <v>-20.41</v>
      </c>
      <c r="E70" s="1"/>
      <c r="F70" s="5">
        <f t="shared" si="29"/>
        <v>-8.4873687493502471E-4</v>
      </c>
      <c r="G70" s="1"/>
      <c r="H70" s="1">
        <f>SUM(OSRRefH22_3x_0)</f>
        <v>10</v>
      </c>
      <c r="I70" s="1"/>
      <c r="J70" s="5">
        <f t="shared" si="30"/>
        <v>2.5133837685676225E-4</v>
      </c>
      <c r="K70" s="1"/>
      <c r="L70" s="1">
        <f t="shared" si="31"/>
        <v>-30.41</v>
      </c>
      <c r="M70" s="1"/>
      <c r="N70" s="5">
        <f t="shared" si="32"/>
        <v>-3.0409999999999999</v>
      </c>
      <c r="O70" s="13"/>
      <c r="P70" s="1">
        <f>SUM(OSRRefP22_3x_0)</f>
        <v>-23.36</v>
      </c>
      <c r="Q70" s="1"/>
      <c r="R70" s="5">
        <f t="shared" si="33"/>
        <v>-1.1215352434768515E-4</v>
      </c>
      <c r="S70" s="1"/>
      <c r="T70" s="1">
        <f>SUM(OSRRefT22_3x_0)</f>
        <v>90</v>
      </c>
      <c r="U70" s="1"/>
      <c r="V70" s="5">
        <f t="shared" si="34"/>
        <v>2.1299254526091586E-4</v>
      </c>
      <c r="W70" s="1"/>
      <c r="X70" s="1">
        <f t="shared" si="35"/>
        <v>-113.36</v>
      </c>
      <c r="Y70" s="1"/>
      <c r="Z70" s="5">
        <f t="shared" si="36"/>
        <v>-1.2595555555555555</v>
      </c>
    </row>
    <row r="71" spans="1:26" s="24" customFormat="1" hidden="1" outlineLevel="2" x14ac:dyDescent="0.25">
      <c r="A71" s="26"/>
      <c r="B71" s="11" t="str">
        <f>CONCATENATE("          ", "6272", " - ", "CASH (OVER/SHORT)")</f>
        <v xml:space="preserve">          6272 - CASH (OVER/SHORT)</v>
      </c>
      <c r="C71" s="11"/>
      <c r="D71" s="7">
        <v>-20.41</v>
      </c>
      <c r="E71" s="2"/>
      <c r="F71" s="6">
        <f t="shared" si="29"/>
        <v>-8.4873687493502471E-4</v>
      </c>
      <c r="G71" s="2"/>
      <c r="H71" s="7">
        <v>10</v>
      </c>
      <c r="I71" s="2"/>
      <c r="J71" s="6">
        <f t="shared" si="30"/>
        <v>2.5133837685676225E-4</v>
      </c>
      <c r="K71" s="2"/>
      <c r="L71" s="7">
        <f t="shared" si="31"/>
        <v>-30.41</v>
      </c>
      <c r="M71" s="2"/>
      <c r="N71" s="6">
        <f t="shared" si="32"/>
        <v>-3.0409999999999999</v>
      </c>
      <c r="O71" s="11"/>
      <c r="P71" s="7">
        <v>-23.36</v>
      </c>
      <c r="Q71" s="2"/>
      <c r="R71" s="6">
        <f t="shared" si="33"/>
        <v>-1.1215352434768515E-4</v>
      </c>
      <c r="S71" s="2"/>
      <c r="T71" s="7">
        <v>90</v>
      </c>
      <c r="U71" s="2"/>
      <c r="V71" s="6">
        <f t="shared" si="34"/>
        <v>2.1299254526091586E-4</v>
      </c>
      <c r="W71" s="2"/>
      <c r="X71" s="7">
        <f t="shared" si="35"/>
        <v>-113.36</v>
      </c>
      <c r="Y71" s="2"/>
      <c r="Z71" s="6">
        <f t="shared" si="36"/>
        <v>-1.2595555555555555</v>
      </c>
    </row>
    <row r="72" spans="1:26" s="25" customFormat="1" outlineLevel="1" collapsed="1" x14ac:dyDescent="0.25">
      <c r="A72" s="27"/>
      <c r="B72" s="13" t="str">
        <f>CONCATENATE("     ","Bank/card Fees                                    ")</f>
        <v xml:space="preserve">     Bank/card Fees                                    </v>
      </c>
      <c r="C72" s="13"/>
      <c r="D72" s="1">
        <f>SUM(OSRRefD22_4x_0)</f>
        <v>470.17</v>
      </c>
      <c r="E72" s="1"/>
      <c r="F72" s="5">
        <f t="shared" si="29"/>
        <v>1.9551720553072052E-2</v>
      </c>
      <c r="G72" s="1"/>
      <c r="H72" s="1">
        <f>SUM(OSRRefH22_4x_0)</f>
        <v>700</v>
      </c>
      <c r="I72" s="1"/>
      <c r="J72" s="5">
        <f t="shared" si="30"/>
        <v>1.7593686379973359E-2</v>
      </c>
      <c r="K72" s="1"/>
      <c r="L72" s="1">
        <f t="shared" si="31"/>
        <v>-229.82999999999998</v>
      </c>
      <c r="M72" s="1"/>
      <c r="N72" s="5">
        <f t="shared" si="32"/>
        <v>-0.32832857142857141</v>
      </c>
      <c r="O72" s="13"/>
      <c r="P72" s="1">
        <f>SUM(OSRRefP22_4x_0)</f>
        <v>3337.9</v>
      </c>
      <c r="Q72" s="1"/>
      <c r="R72" s="5">
        <f t="shared" si="33"/>
        <v>1.6025567162677154E-2</v>
      </c>
      <c r="S72" s="1"/>
      <c r="T72" s="1">
        <f>SUM(OSRRefT22_4x_0)</f>
        <v>6286</v>
      </c>
      <c r="U72" s="1"/>
      <c r="V72" s="5">
        <f t="shared" si="34"/>
        <v>1.4876345994556858E-2</v>
      </c>
      <c r="W72" s="1"/>
      <c r="X72" s="1">
        <f t="shared" si="35"/>
        <v>-2948.1</v>
      </c>
      <c r="Y72" s="1"/>
      <c r="Z72" s="5">
        <f t="shared" si="36"/>
        <v>-0.46899459115494752</v>
      </c>
    </row>
    <row r="73" spans="1:26" s="24" customFormat="1" hidden="1" outlineLevel="2" x14ac:dyDescent="0.25">
      <c r="A73" s="26"/>
      <c r="B73" s="11" t="str">
        <f>CONCATENATE("          ", "6381", " - ", "BANK/CREDIT CARD FEES")</f>
        <v xml:space="preserve">          6381 - BANK/CREDIT CARD FEES</v>
      </c>
      <c r="C73" s="11"/>
      <c r="D73" s="7">
        <v>470.17</v>
      </c>
      <c r="E73" s="2"/>
      <c r="F73" s="6">
        <f t="shared" si="29"/>
        <v>1.9551720553072052E-2</v>
      </c>
      <c r="G73" s="2"/>
      <c r="H73" s="7">
        <v>700</v>
      </c>
      <c r="I73" s="2"/>
      <c r="J73" s="6">
        <f t="shared" si="30"/>
        <v>1.7593686379973359E-2</v>
      </c>
      <c r="K73" s="2"/>
      <c r="L73" s="7">
        <f t="shared" si="31"/>
        <v>-229.82999999999998</v>
      </c>
      <c r="M73" s="2"/>
      <c r="N73" s="6">
        <f t="shared" si="32"/>
        <v>-0.32832857142857141</v>
      </c>
      <c r="O73" s="11"/>
      <c r="P73" s="7">
        <v>3337.9</v>
      </c>
      <c r="Q73" s="2"/>
      <c r="R73" s="6">
        <f t="shared" si="33"/>
        <v>1.6025567162677154E-2</v>
      </c>
      <c r="S73" s="2"/>
      <c r="T73" s="7">
        <v>6286</v>
      </c>
      <c r="U73" s="2"/>
      <c r="V73" s="6">
        <f t="shared" si="34"/>
        <v>1.4876345994556858E-2</v>
      </c>
      <c r="W73" s="2"/>
      <c r="X73" s="7">
        <f t="shared" si="35"/>
        <v>-2948.1</v>
      </c>
      <c r="Y73" s="2"/>
      <c r="Z73" s="6">
        <f t="shared" si="36"/>
        <v>-0.46899459115494752</v>
      </c>
    </row>
    <row r="74" spans="1:26" s="25" customFormat="1" outlineLevel="1" collapsed="1" x14ac:dyDescent="0.25">
      <c r="A74" s="27"/>
      <c r="B74" s="13" t="str">
        <f>CONCATENATE("     ","Discounts and Markdowns                           ")</f>
        <v xml:space="preserve">     Discounts and Markdowns                           </v>
      </c>
      <c r="C74" s="13"/>
      <c r="D74" s="1">
        <f>SUM(OSRRefD22_5x_0)</f>
        <v>0</v>
      </c>
      <c r="E74" s="1"/>
      <c r="F74" s="5">
        <f t="shared" si="29"/>
        <v>0</v>
      </c>
      <c r="G74" s="1"/>
      <c r="H74" s="1">
        <f>SUM(OSRRefH22_5x_0)</f>
        <v>3979</v>
      </c>
      <c r="I74" s="1"/>
      <c r="J74" s="5">
        <f t="shared" si="30"/>
        <v>0.1000075401513057</v>
      </c>
      <c r="K74" s="1"/>
      <c r="L74" s="1">
        <f t="shared" si="31"/>
        <v>-3979</v>
      </c>
      <c r="M74" s="1"/>
      <c r="N74" s="5">
        <f t="shared" si="32"/>
        <v>-1</v>
      </c>
      <c r="O74" s="13"/>
      <c r="P74" s="1">
        <f>SUM(OSRRefP22_5x_0)</f>
        <v>0</v>
      </c>
      <c r="Q74" s="1"/>
      <c r="R74" s="5">
        <f t="shared" si="33"/>
        <v>0</v>
      </c>
      <c r="S74" s="1"/>
      <c r="T74" s="1">
        <f>SUM(OSRRefT22_5x_0)</f>
        <v>42256</v>
      </c>
      <c r="U74" s="1"/>
      <c r="V74" s="5">
        <f t="shared" si="34"/>
        <v>0.10000236658383624</v>
      </c>
      <c r="W74" s="1"/>
      <c r="X74" s="1">
        <f t="shared" si="35"/>
        <v>-42256</v>
      </c>
      <c r="Y74" s="1"/>
      <c r="Z74" s="5">
        <f t="shared" si="36"/>
        <v>-1</v>
      </c>
    </row>
    <row r="75" spans="1:26" s="24" customFormat="1" hidden="1" outlineLevel="2" x14ac:dyDescent="0.25">
      <c r="A75" s="26"/>
      <c r="B75" s="11" t="str">
        <f>CONCATENATE("          ", "6382", " - ", "DISCOUNTS/MARK DOWNS")</f>
        <v xml:space="preserve">          6382 - DISCOUNTS/MARK DOWNS</v>
      </c>
      <c r="C75" s="11"/>
      <c r="D75" s="7">
        <v>0</v>
      </c>
      <c r="E75" s="2"/>
      <c r="F75" s="6">
        <f t="shared" si="29"/>
        <v>0</v>
      </c>
      <c r="G75" s="2"/>
      <c r="H75" s="7">
        <v>3979</v>
      </c>
      <c r="I75" s="2"/>
      <c r="J75" s="6">
        <f t="shared" si="30"/>
        <v>0.1000075401513057</v>
      </c>
      <c r="K75" s="2"/>
      <c r="L75" s="7">
        <f t="shared" si="31"/>
        <v>-3979</v>
      </c>
      <c r="M75" s="2"/>
      <c r="N75" s="6">
        <f t="shared" si="32"/>
        <v>-1</v>
      </c>
      <c r="O75" s="11"/>
      <c r="P75" s="7">
        <v>0</v>
      </c>
      <c r="Q75" s="2"/>
      <c r="R75" s="6">
        <f t="shared" si="33"/>
        <v>0</v>
      </c>
      <c r="S75" s="2"/>
      <c r="T75" s="7">
        <v>42256</v>
      </c>
      <c r="U75" s="2"/>
      <c r="V75" s="6">
        <f t="shared" si="34"/>
        <v>0.10000236658383624</v>
      </c>
      <c r="W75" s="2"/>
      <c r="X75" s="7">
        <f t="shared" si="35"/>
        <v>-42256</v>
      </c>
      <c r="Y75" s="2"/>
      <c r="Z75" s="6">
        <f t="shared" si="36"/>
        <v>-1</v>
      </c>
    </row>
    <row r="76" spans="1:26" s="25" customFormat="1" outlineLevel="1" collapsed="1" x14ac:dyDescent="0.25">
      <c r="A76" s="27"/>
      <c r="B76" s="13" t="str">
        <f>CONCATENATE("     ","Donations                                         ")</f>
        <v xml:space="preserve">     Donations                                         </v>
      </c>
      <c r="C76" s="13"/>
      <c r="D76" s="1">
        <f>SUM(OSRRefD22_6x_0)</f>
        <v>0</v>
      </c>
      <c r="E76" s="1"/>
      <c r="F76" s="5">
        <f t="shared" si="29"/>
        <v>0</v>
      </c>
      <c r="G76" s="1"/>
      <c r="H76" s="1">
        <f>SUM(OSRRefH22_6x_0)</f>
        <v>0</v>
      </c>
      <c r="I76" s="1"/>
      <c r="J76" s="5">
        <f t="shared" si="30"/>
        <v>0</v>
      </c>
      <c r="K76" s="1"/>
      <c r="L76" s="1">
        <f t="shared" si="31"/>
        <v>0</v>
      </c>
      <c r="M76" s="1"/>
      <c r="N76" s="5">
        <f t="shared" si="32"/>
        <v>0</v>
      </c>
      <c r="O76" s="13"/>
      <c r="P76" s="1">
        <f>SUM(OSRRefP22_6x_0)</f>
        <v>0</v>
      </c>
      <c r="Q76" s="1"/>
      <c r="R76" s="5">
        <f t="shared" si="33"/>
        <v>0</v>
      </c>
      <c r="S76" s="1"/>
      <c r="T76" s="1">
        <f>SUM(OSRRefT22_6x_0)</f>
        <v>0</v>
      </c>
      <c r="U76" s="1"/>
      <c r="V76" s="5">
        <f t="shared" si="34"/>
        <v>0</v>
      </c>
      <c r="W76" s="1"/>
      <c r="X76" s="1">
        <f t="shared" si="35"/>
        <v>0</v>
      </c>
      <c r="Y76" s="1"/>
      <c r="Z76" s="5">
        <f t="shared" si="36"/>
        <v>0</v>
      </c>
    </row>
    <row r="77" spans="1:26" s="24" customFormat="1" hidden="1" outlineLevel="2" x14ac:dyDescent="0.25">
      <c r="A77" s="26"/>
      <c r="B77" s="11" t="str">
        <f>CONCATENATE("          ", "6395", " - ", "DONATION-OFF CAMPUS")</f>
        <v xml:space="preserve">          6395 - DONATION-OFF CAMPUS</v>
      </c>
      <c r="C77" s="11"/>
      <c r="D77" s="7"/>
      <c r="E77" s="2"/>
      <c r="F77" s="6">
        <f t="shared" si="29"/>
        <v>0</v>
      </c>
      <c r="G77" s="2"/>
      <c r="H77" s="7"/>
      <c r="I77" s="2"/>
      <c r="J77" s="6">
        <f t="shared" si="30"/>
        <v>0</v>
      </c>
      <c r="K77" s="2"/>
      <c r="L77" s="7">
        <f t="shared" si="31"/>
        <v>0</v>
      </c>
      <c r="M77" s="2"/>
      <c r="N77" s="6">
        <f t="shared" si="32"/>
        <v>0</v>
      </c>
      <c r="O77" s="11"/>
      <c r="P77" s="7"/>
      <c r="Q77" s="2"/>
      <c r="R77" s="6">
        <f t="shared" si="33"/>
        <v>0</v>
      </c>
      <c r="S77" s="2"/>
      <c r="T77" s="7">
        <v>0</v>
      </c>
      <c r="U77" s="2"/>
      <c r="V77" s="6">
        <f t="shared" si="34"/>
        <v>0</v>
      </c>
      <c r="W77" s="2"/>
      <c r="X77" s="7">
        <f t="shared" si="35"/>
        <v>0</v>
      </c>
      <c r="Y77" s="2"/>
      <c r="Z77" s="6">
        <f t="shared" si="36"/>
        <v>0</v>
      </c>
    </row>
    <row r="78" spans="1:26" s="25" customFormat="1" outlineLevel="1" collapsed="1" x14ac:dyDescent="0.25">
      <c r="A78" s="27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SUM(OSRRefD22_7x_0)</f>
        <v>0</v>
      </c>
      <c r="E78" s="1"/>
      <c r="F78" s="5">
        <f t="shared" si="29"/>
        <v>0</v>
      </c>
      <c r="G78" s="1"/>
      <c r="H78" s="1">
        <f>SUM(OSRRefH22_7x_0)</f>
        <v>50</v>
      </c>
      <c r="I78" s="1"/>
      <c r="J78" s="5">
        <f t="shared" si="30"/>
        <v>1.2566918842838112E-3</v>
      </c>
      <c r="K78" s="1"/>
      <c r="L78" s="1">
        <f t="shared" si="31"/>
        <v>-50</v>
      </c>
      <c r="M78" s="1"/>
      <c r="N78" s="5">
        <f t="shared" si="32"/>
        <v>-1</v>
      </c>
      <c r="O78" s="13"/>
      <c r="P78" s="1">
        <f>SUM(OSRRefP22_7x_0)</f>
        <v>0</v>
      </c>
      <c r="Q78" s="1"/>
      <c r="R78" s="5">
        <f t="shared" si="33"/>
        <v>0</v>
      </c>
      <c r="S78" s="1"/>
      <c r="T78" s="1">
        <f>SUM(OSRRefT22_7x_0)</f>
        <v>450</v>
      </c>
      <c r="U78" s="1"/>
      <c r="V78" s="5">
        <f t="shared" si="34"/>
        <v>1.0649627263045794E-3</v>
      </c>
      <c r="W78" s="1"/>
      <c r="X78" s="1">
        <f t="shared" si="35"/>
        <v>-450</v>
      </c>
      <c r="Y78" s="1"/>
      <c r="Z78" s="5">
        <f t="shared" si="36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29"/>
        <v>0</v>
      </c>
      <c r="G79" s="2"/>
      <c r="H79" s="7">
        <v>50</v>
      </c>
      <c r="I79" s="2"/>
      <c r="J79" s="6">
        <f t="shared" si="30"/>
        <v>1.2566918842838112E-3</v>
      </c>
      <c r="K79" s="2"/>
      <c r="L79" s="7">
        <f t="shared" si="31"/>
        <v>-50</v>
      </c>
      <c r="M79" s="2"/>
      <c r="N79" s="6">
        <f t="shared" si="32"/>
        <v>-1</v>
      </c>
      <c r="O79" s="11"/>
      <c r="P79" s="7"/>
      <c r="Q79" s="2"/>
      <c r="R79" s="6">
        <f t="shared" si="33"/>
        <v>0</v>
      </c>
      <c r="S79" s="2"/>
      <c r="T79" s="7">
        <v>450</v>
      </c>
      <c r="U79" s="2"/>
      <c r="V79" s="6">
        <f t="shared" si="34"/>
        <v>1.0649627263045794E-3</v>
      </c>
      <c r="W79" s="2"/>
      <c r="X79" s="7">
        <f t="shared" si="35"/>
        <v>-450</v>
      </c>
      <c r="Y79" s="2"/>
      <c r="Z79" s="6">
        <f t="shared" si="36"/>
        <v>-1</v>
      </c>
    </row>
    <row r="80" spans="1:26" s="25" customFormat="1" outlineLevel="1" collapsed="1" x14ac:dyDescent="0.25">
      <c r="A80" s="27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SUM(OSRRefD22_8x_0)</f>
        <v>0</v>
      </c>
      <c r="E80" s="1"/>
      <c r="F80" s="5">
        <f t="shared" si="29"/>
        <v>0</v>
      </c>
      <c r="G80" s="1"/>
      <c r="H80" s="1">
        <f>SUM(OSRRefH22_8x_0)</f>
        <v>50</v>
      </c>
      <c r="I80" s="1"/>
      <c r="J80" s="5">
        <f t="shared" si="30"/>
        <v>1.2566918842838112E-3</v>
      </c>
      <c r="K80" s="1"/>
      <c r="L80" s="1">
        <f t="shared" si="31"/>
        <v>-50</v>
      </c>
      <c r="M80" s="1"/>
      <c r="N80" s="5">
        <f t="shared" si="32"/>
        <v>-1</v>
      </c>
      <c r="O80" s="13"/>
      <c r="P80" s="1">
        <f>SUM(OSRRefP22_8x_0)</f>
        <v>1285.46</v>
      </c>
      <c r="Q80" s="1"/>
      <c r="R80" s="5">
        <f t="shared" si="33"/>
        <v>6.1716125602729174E-3</v>
      </c>
      <c r="S80" s="1"/>
      <c r="T80" s="1">
        <f>SUM(OSRRefT22_8x_0)</f>
        <v>1750</v>
      </c>
      <c r="U80" s="1"/>
      <c r="V80" s="5">
        <f t="shared" si="34"/>
        <v>4.141521713406697E-3</v>
      </c>
      <c r="W80" s="1"/>
      <c r="X80" s="1">
        <f t="shared" si="35"/>
        <v>-464.53999999999996</v>
      </c>
      <c r="Y80" s="1"/>
      <c r="Z80" s="5">
        <f t="shared" si="36"/>
        <v>-0.26545142857142856</v>
      </c>
    </row>
    <row r="81" spans="1:26" s="24" customFormat="1" hidden="1" outlineLevel="2" x14ac:dyDescent="0.25">
      <c r="A81" s="26"/>
      <c r="B81" s="11" t="str">
        <f>CONCATENATE("          ", "6276", " - ", "PROPERTY TAX")</f>
        <v xml:space="preserve">          6276 - PROPERTY TAX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/>
      <c r="Q81" s="2"/>
      <c r="R81" s="6">
        <f t="shared" si="33"/>
        <v>0</v>
      </c>
      <c r="S81" s="2"/>
      <c r="T81" s="7">
        <v>150</v>
      </c>
      <c r="U81" s="2"/>
      <c r="V81" s="6">
        <f t="shared" si="34"/>
        <v>3.5498757543485978E-4</v>
      </c>
      <c r="W81" s="2"/>
      <c r="X81" s="7">
        <f t="shared" si="35"/>
        <v>-150</v>
      </c>
      <c r="Y81" s="2"/>
      <c r="Z81" s="6">
        <f t="shared" si="36"/>
        <v>-1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29"/>
        <v>0</v>
      </c>
      <c r="G82" s="2"/>
      <c r="H82" s="7">
        <v>50</v>
      </c>
      <c r="I82" s="2"/>
      <c r="J82" s="6">
        <f t="shared" si="30"/>
        <v>1.2566918842838112E-3</v>
      </c>
      <c r="K82" s="2"/>
      <c r="L82" s="7">
        <f t="shared" si="31"/>
        <v>-50</v>
      </c>
      <c r="M82" s="2"/>
      <c r="N82" s="6">
        <f t="shared" si="32"/>
        <v>-1</v>
      </c>
      <c r="O82" s="11"/>
      <c r="P82" s="7">
        <v>1285.46</v>
      </c>
      <c r="Q82" s="2"/>
      <c r="R82" s="6">
        <f t="shared" si="33"/>
        <v>6.1716125602729174E-3</v>
      </c>
      <c r="S82" s="2"/>
      <c r="T82" s="7">
        <v>1600</v>
      </c>
      <c r="U82" s="2"/>
      <c r="V82" s="6">
        <f t="shared" si="34"/>
        <v>3.7865341379718378E-3</v>
      </c>
      <c r="W82" s="2"/>
      <c r="X82" s="7">
        <f t="shared" si="35"/>
        <v>-314.53999999999996</v>
      </c>
      <c r="Y82" s="2"/>
      <c r="Z82" s="6">
        <f t="shared" si="36"/>
        <v>-0.19658749999999997</v>
      </c>
    </row>
    <row r="83" spans="1:26" s="25" customFormat="1" outlineLevel="1" collapsed="1" x14ac:dyDescent="0.25">
      <c r="A83" s="27"/>
      <c r="B83" s="13" t="str">
        <f>CONCATENATE("     ","Insurance                                         ")</f>
        <v xml:space="preserve">     Insurance                                         </v>
      </c>
      <c r="C83" s="13"/>
      <c r="D83" s="1">
        <f>SUM(OSRRefD22_9x_0)</f>
        <v>161.18</v>
      </c>
      <c r="E83" s="1"/>
      <c r="F83" s="5">
        <f t="shared" ref="F83:F94" si="37">IF(D$12=0,0,D83/D$12)</f>
        <v>6.7025678344942328E-3</v>
      </c>
      <c r="G83" s="1"/>
      <c r="H83" s="1">
        <f>SUM(OSRRefH22_9x_0)</f>
        <v>176</v>
      </c>
      <c r="I83" s="1"/>
      <c r="J83" s="5">
        <f t="shared" ref="J83:J94" si="38">IF(H$12=0,0,H83/H$12)</f>
        <v>4.4235554326790159E-3</v>
      </c>
      <c r="K83" s="1"/>
      <c r="L83" s="1">
        <f t="shared" ref="L83:L94" si="39">+D83-H83</f>
        <v>-14.819999999999993</v>
      </c>
      <c r="M83" s="1"/>
      <c r="N83" s="5">
        <f t="shared" ref="N83:N94" si="40">IF(H83=0,0,L83/H83)</f>
        <v>-8.4204545454545421E-2</v>
      </c>
      <c r="O83" s="13"/>
      <c r="P83" s="1">
        <f>SUM(OSRRefP22_9x_0)</f>
        <v>1450.62</v>
      </c>
      <c r="Q83" s="1"/>
      <c r="R83" s="5">
        <f t="shared" ref="R83:R94" si="41">IF(P$12=0,0,P83/P$12)</f>
        <v>6.9645610226557802E-3</v>
      </c>
      <c r="S83" s="1"/>
      <c r="T83" s="1">
        <f>SUM(OSRRefT22_9x_0)</f>
        <v>1584</v>
      </c>
      <c r="U83" s="1"/>
      <c r="V83" s="5">
        <f t="shared" ref="V83:V94" si="42">IF(T$12=0,0,T83/T$12)</f>
        <v>3.7486687965921192E-3</v>
      </c>
      <c r="W83" s="1"/>
      <c r="X83" s="1">
        <f t="shared" ref="X83:X94" si="43">+P83-T83</f>
        <v>-133.38000000000011</v>
      </c>
      <c r="Y83" s="1"/>
      <c r="Z83" s="5">
        <f t="shared" ref="Z83:Z94" si="44">IF(T83=0,0,X83/T83)</f>
        <v>-8.4204545454545518E-2</v>
      </c>
    </row>
    <row r="84" spans="1:26" s="24" customFormat="1" hidden="1" outlineLevel="2" x14ac:dyDescent="0.25">
      <c r="A84" s="26"/>
      <c r="B84" s="11" t="str">
        <f>CONCATENATE("          ", "6314", " - ", "LIABILITY INSURANCE")</f>
        <v xml:space="preserve">          6314 - LIABILITY INSURANCE</v>
      </c>
      <c r="C84" s="11"/>
      <c r="D84" s="7">
        <v>161.18</v>
      </c>
      <c r="E84" s="2"/>
      <c r="F84" s="6">
        <f t="shared" si="37"/>
        <v>6.7025678344942328E-3</v>
      </c>
      <c r="G84" s="2"/>
      <c r="H84" s="7">
        <v>176</v>
      </c>
      <c r="I84" s="2"/>
      <c r="J84" s="6">
        <f t="shared" si="38"/>
        <v>4.4235554326790159E-3</v>
      </c>
      <c r="K84" s="2"/>
      <c r="L84" s="7">
        <f t="shared" si="39"/>
        <v>-14.819999999999993</v>
      </c>
      <c r="M84" s="2"/>
      <c r="N84" s="6">
        <f t="shared" si="40"/>
        <v>-8.4204545454545421E-2</v>
      </c>
      <c r="O84" s="11"/>
      <c r="P84" s="7">
        <v>1450.62</v>
      </c>
      <c r="Q84" s="2"/>
      <c r="R84" s="6">
        <f t="shared" si="41"/>
        <v>6.9645610226557802E-3</v>
      </c>
      <c r="S84" s="2"/>
      <c r="T84" s="7">
        <v>1584</v>
      </c>
      <c r="U84" s="2"/>
      <c r="V84" s="6">
        <f t="shared" si="42"/>
        <v>3.7486687965921192E-3</v>
      </c>
      <c r="W84" s="2"/>
      <c r="X84" s="7">
        <f t="shared" si="43"/>
        <v>-133.38000000000011</v>
      </c>
      <c r="Y84" s="2"/>
      <c r="Z84" s="6">
        <f t="shared" si="44"/>
        <v>-8.4204545454545518E-2</v>
      </c>
    </row>
    <row r="85" spans="1:26" s="25" customFormat="1" outlineLevel="1" collapsed="1" x14ac:dyDescent="0.25">
      <c r="A85" s="27"/>
      <c r="B85" s="13" t="str">
        <f>CONCATENATE("     ","Inventory Adjustment                              ")</f>
        <v xml:space="preserve">     Inventory Adjustment                              </v>
      </c>
      <c r="C85" s="13"/>
      <c r="D85" s="1">
        <f>SUM(OSRRefD22_10x_0)</f>
        <v>100</v>
      </c>
      <c r="E85" s="1"/>
      <c r="F85" s="5">
        <f t="shared" si="37"/>
        <v>4.1584364279031094E-3</v>
      </c>
      <c r="G85" s="1"/>
      <c r="H85" s="1">
        <f>SUM(OSRRefH22_10x_0)</f>
        <v>100</v>
      </c>
      <c r="I85" s="1"/>
      <c r="J85" s="5">
        <f t="shared" si="38"/>
        <v>2.5133837685676224E-3</v>
      </c>
      <c r="K85" s="1"/>
      <c r="L85" s="1">
        <f t="shared" si="39"/>
        <v>0</v>
      </c>
      <c r="M85" s="1"/>
      <c r="N85" s="5">
        <f t="shared" si="40"/>
        <v>0</v>
      </c>
      <c r="O85" s="13"/>
      <c r="P85" s="1">
        <f>SUM(OSRRefP22_10x_0)</f>
        <v>900</v>
      </c>
      <c r="Q85" s="1"/>
      <c r="R85" s="5">
        <f t="shared" si="41"/>
        <v>4.3209833866830749E-3</v>
      </c>
      <c r="S85" s="1"/>
      <c r="T85" s="1">
        <f>SUM(OSRRefT22_10x_0)</f>
        <v>900</v>
      </c>
      <c r="U85" s="1"/>
      <c r="V85" s="5">
        <f t="shared" si="42"/>
        <v>2.1299254526091589E-3</v>
      </c>
      <c r="W85" s="1"/>
      <c r="X85" s="1">
        <f t="shared" si="43"/>
        <v>0</v>
      </c>
      <c r="Y85" s="1"/>
      <c r="Z85" s="5">
        <f t="shared" si="44"/>
        <v>0</v>
      </c>
    </row>
    <row r="86" spans="1:26" s="24" customFormat="1" hidden="1" outlineLevel="2" x14ac:dyDescent="0.25">
      <c r="A86" s="26"/>
      <c r="B86" s="11" t="str">
        <f>CONCATENATE("          ", "6408", " - ", "INVENTORY ADJUSTMENT")</f>
        <v xml:space="preserve">          6408 - INVENTORY ADJUSTMENT</v>
      </c>
      <c r="C86" s="11"/>
      <c r="D86" s="7">
        <v>100</v>
      </c>
      <c r="E86" s="2"/>
      <c r="F86" s="6">
        <f t="shared" si="37"/>
        <v>4.1584364279031094E-3</v>
      </c>
      <c r="G86" s="2"/>
      <c r="H86" s="7">
        <v>100</v>
      </c>
      <c r="I86" s="2"/>
      <c r="J86" s="6">
        <f t="shared" si="38"/>
        <v>2.5133837685676224E-3</v>
      </c>
      <c r="K86" s="2"/>
      <c r="L86" s="7">
        <f t="shared" si="39"/>
        <v>0</v>
      </c>
      <c r="M86" s="2"/>
      <c r="N86" s="6">
        <f t="shared" si="40"/>
        <v>0</v>
      </c>
      <c r="O86" s="11"/>
      <c r="P86" s="7">
        <v>900</v>
      </c>
      <c r="Q86" s="2"/>
      <c r="R86" s="6">
        <f t="shared" si="41"/>
        <v>4.3209833866830749E-3</v>
      </c>
      <c r="S86" s="2"/>
      <c r="T86" s="7">
        <v>900</v>
      </c>
      <c r="U86" s="2"/>
      <c r="V86" s="6">
        <f t="shared" si="42"/>
        <v>2.1299254526091589E-3</v>
      </c>
      <c r="W86" s="2"/>
      <c r="X86" s="7">
        <f t="shared" si="43"/>
        <v>0</v>
      </c>
      <c r="Y86" s="2"/>
      <c r="Z86" s="6">
        <f t="shared" si="44"/>
        <v>0</v>
      </c>
    </row>
    <row r="87" spans="1:26" s="25" customFormat="1" outlineLevel="1" collapsed="1" x14ac:dyDescent="0.25">
      <c r="A87" s="27"/>
      <c r="B87" s="13" t="str">
        <f>CONCATENATE("     ","Professional Services                             ")</f>
        <v xml:space="preserve">     Professional Services                             </v>
      </c>
      <c r="C87" s="13"/>
      <c r="D87" s="1">
        <f>SUM(OSRRefD22_11x_0)</f>
        <v>0</v>
      </c>
      <c r="E87" s="1"/>
      <c r="F87" s="5">
        <f t="shared" si="37"/>
        <v>0</v>
      </c>
      <c r="G87" s="1"/>
      <c r="H87" s="1">
        <f>SUM(OSRRefH22_11x_0)</f>
        <v>0</v>
      </c>
      <c r="I87" s="1"/>
      <c r="J87" s="5">
        <f t="shared" si="38"/>
        <v>0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SUM(OSRRefP22_11x_0)</f>
        <v>0</v>
      </c>
      <c r="Q87" s="1"/>
      <c r="R87" s="5">
        <f t="shared" si="41"/>
        <v>0</v>
      </c>
      <c r="S87" s="1"/>
      <c r="T87" s="1">
        <f>SUM(OSRRefT22_11x_0)</f>
        <v>750</v>
      </c>
      <c r="U87" s="1"/>
      <c r="V87" s="5">
        <f t="shared" si="42"/>
        <v>1.774937877174299E-3</v>
      </c>
      <c r="W87" s="1"/>
      <c r="X87" s="1">
        <f t="shared" si="43"/>
        <v>-750</v>
      </c>
      <c r="Y87" s="1"/>
      <c r="Z87" s="5">
        <f t="shared" si="44"/>
        <v>-1</v>
      </c>
    </row>
    <row r="88" spans="1:26" s="24" customFormat="1" hidden="1" outlineLevel="2" x14ac:dyDescent="0.25">
      <c r="A88" s="26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37"/>
        <v>0</v>
      </c>
      <c r="G88" s="2"/>
      <c r="H88" s="7">
        <v>0</v>
      </c>
      <c r="I88" s="2"/>
      <c r="J88" s="6">
        <f t="shared" si="38"/>
        <v>0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/>
      <c r="Q88" s="2"/>
      <c r="R88" s="6">
        <f t="shared" si="41"/>
        <v>0</v>
      </c>
      <c r="S88" s="2"/>
      <c r="T88" s="7">
        <v>750</v>
      </c>
      <c r="U88" s="2"/>
      <c r="V88" s="6">
        <f t="shared" si="42"/>
        <v>1.774937877174299E-3</v>
      </c>
      <c r="W88" s="2"/>
      <c r="X88" s="7">
        <f t="shared" si="43"/>
        <v>-750</v>
      </c>
      <c r="Y88" s="2"/>
      <c r="Z88" s="6">
        <f t="shared" si="44"/>
        <v>-1</v>
      </c>
    </row>
    <row r="89" spans="1:26" s="25" customFormat="1" outlineLevel="1" collapsed="1" x14ac:dyDescent="0.25">
      <c r="A89" s="27"/>
      <c r="B89" s="13" t="str">
        <f>CONCATENATE("     ","Rent                                              ")</f>
        <v xml:space="preserve">     Rent                                              </v>
      </c>
      <c r="C89" s="13"/>
      <c r="D89" s="1">
        <f>SUM(OSRRefD22_12x_0)</f>
        <v>6900</v>
      </c>
      <c r="E89" s="1"/>
      <c r="F89" s="5">
        <f t="shared" si="37"/>
        <v>0.28693211352531456</v>
      </c>
      <c r="G89" s="1"/>
      <c r="H89" s="1">
        <f>SUM(OSRRefH22_12x_0)</f>
        <v>6900</v>
      </c>
      <c r="I89" s="1"/>
      <c r="J89" s="5">
        <f t="shared" si="38"/>
        <v>0.17342348003116595</v>
      </c>
      <c r="K89" s="1"/>
      <c r="L89" s="1">
        <f t="shared" si="39"/>
        <v>0</v>
      </c>
      <c r="M89" s="1"/>
      <c r="N89" s="5">
        <f t="shared" si="40"/>
        <v>0</v>
      </c>
      <c r="O89" s="13"/>
      <c r="P89" s="1">
        <f>SUM(OSRRefP22_12x_0)</f>
        <v>62100</v>
      </c>
      <c r="Q89" s="1"/>
      <c r="R89" s="5">
        <f t="shared" si="41"/>
        <v>0.29814785368113217</v>
      </c>
      <c r="S89" s="1"/>
      <c r="T89" s="1">
        <f>SUM(OSRRefT22_12x_0)</f>
        <v>62101</v>
      </c>
      <c r="U89" s="1"/>
      <c r="V89" s="5">
        <f t="shared" si="42"/>
        <v>0.14696722281386818</v>
      </c>
      <c r="W89" s="1"/>
      <c r="X89" s="1">
        <f t="shared" si="43"/>
        <v>-1</v>
      </c>
      <c r="Y89" s="1"/>
      <c r="Z89" s="5">
        <f t="shared" si="44"/>
        <v>-1.6102800276968164E-5</v>
      </c>
    </row>
    <row r="90" spans="1:26" s="24" customFormat="1" hidden="1" outlineLevel="2" x14ac:dyDescent="0.25">
      <c r="A90" s="26"/>
      <c r="B90" s="11" t="str">
        <f>CONCATENATE("          ", "6273", " - ", "RENT")</f>
        <v xml:space="preserve">          6273 - RENT</v>
      </c>
      <c r="C90" s="11"/>
      <c r="D90" s="7">
        <v>6900</v>
      </c>
      <c r="E90" s="2"/>
      <c r="F90" s="6">
        <f t="shared" si="37"/>
        <v>0.28693211352531456</v>
      </c>
      <c r="G90" s="2"/>
      <c r="H90" s="7">
        <v>6900</v>
      </c>
      <c r="I90" s="2"/>
      <c r="J90" s="6">
        <f t="shared" si="38"/>
        <v>0.17342348003116595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62100</v>
      </c>
      <c r="Q90" s="2"/>
      <c r="R90" s="6">
        <f t="shared" si="41"/>
        <v>0.29814785368113217</v>
      </c>
      <c r="S90" s="2"/>
      <c r="T90" s="7">
        <v>62101</v>
      </c>
      <c r="U90" s="2"/>
      <c r="V90" s="6">
        <f t="shared" si="42"/>
        <v>0.14696722281386818</v>
      </c>
      <c r="W90" s="2"/>
      <c r="X90" s="7">
        <f t="shared" si="43"/>
        <v>-1</v>
      </c>
      <c r="Y90" s="2"/>
      <c r="Z90" s="6">
        <f t="shared" si="44"/>
        <v>-1.6102800276968164E-5</v>
      </c>
    </row>
    <row r="91" spans="1:26" s="25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SUM(OSRRefD22_13x_0)</f>
        <v>213.79</v>
      </c>
      <c r="E91" s="1"/>
      <c r="F91" s="5">
        <f t="shared" si="37"/>
        <v>8.8903212392140579E-3</v>
      </c>
      <c r="G91" s="1"/>
      <c r="H91" s="1">
        <f>SUM(OSRRefH22_13x_0)</f>
        <v>100</v>
      </c>
      <c r="I91" s="1"/>
      <c r="J91" s="5">
        <f t="shared" si="38"/>
        <v>2.5133837685676224E-3</v>
      </c>
      <c r="K91" s="1"/>
      <c r="L91" s="1">
        <f t="shared" si="39"/>
        <v>113.78999999999999</v>
      </c>
      <c r="M91" s="1"/>
      <c r="N91" s="5">
        <f t="shared" si="40"/>
        <v>1.1378999999999999</v>
      </c>
      <c r="O91" s="13"/>
      <c r="P91" s="1">
        <f>SUM(OSRRefP22_13x_0)</f>
        <v>309.70999999999998</v>
      </c>
      <c r="Q91" s="1"/>
      <c r="R91" s="5">
        <f t="shared" si="41"/>
        <v>1.4869464052106834E-3</v>
      </c>
      <c r="S91" s="1"/>
      <c r="T91" s="1">
        <f>SUM(OSRRefT22_13x_0)</f>
        <v>900</v>
      </c>
      <c r="U91" s="1"/>
      <c r="V91" s="5">
        <f t="shared" si="42"/>
        <v>2.1299254526091589E-3</v>
      </c>
      <c r="W91" s="1"/>
      <c r="X91" s="1">
        <f t="shared" si="43"/>
        <v>-590.29</v>
      </c>
      <c r="Y91" s="1"/>
      <c r="Z91" s="5">
        <f t="shared" si="44"/>
        <v>-0.65587777777777778</v>
      </c>
    </row>
    <row r="92" spans="1:26" s="24" customFormat="1" hidden="1" outlineLevel="2" x14ac:dyDescent="0.25">
      <c r="A92" s="26"/>
      <c r="B92" s="11" t="str">
        <f>CONCATENATE("          ", "6372", " - ", "COMPUTER HARDWARE MAINTENANCE")</f>
        <v xml:space="preserve">          6372 - COMPUTER HARDWARE MAINTENANCE</v>
      </c>
      <c r="C92" s="11"/>
      <c r="D92" s="7"/>
      <c r="E92" s="2"/>
      <c r="F92" s="6">
        <f t="shared" si="37"/>
        <v>0</v>
      </c>
      <c r="G92" s="2"/>
      <c r="H92" s="7"/>
      <c r="I92" s="2"/>
      <c r="J92" s="6">
        <f t="shared" si="38"/>
        <v>0</v>
      </c>
      <c r="K92" s="2"/>
      <c r="L92" s="7">
        <f t="shared" si="39"/>
        <v>0</v>
      </c>
      <c r="M92" s="2"/>
      <c r="N92" s="6">
        <f t="shared" si="40"/>
        <v>0</v>
      </c>
      <c r="O92" s="11"/>
      <c r="P92" s="7">
        <v>-0.52</v>
      </c>
      <c r="Q92" s="2"/>
      <c r="R92" s="6">
        <f t="shared" si="41"/>
        <v>-2.4965681789724437E-6</v>
      </c>
      <c r="S92" s="2"/>
      <c r="T92" s="7"/>
      <c r="U92" s="2"/>
      <c r="V92" s="6">
        <f t="shared" si="42"/>
        <v>0</v>
      </c>
      <c r="W92" s="2"/>
      <c r="X92" s="7">
        <f t="shared" si="43"/>
        <v>-0.52</v>
      </c>
      <c r="Y92" s="2"/>
      <c r="Z92" s="6">
        <f t="shared" si="44"/>
        <v>0</v>
      </c>
    </row>
    <row r="93" spans="1:26" s="24" customFormat="1" hidden="1" outlineLevel="2" x14ac:dyDescent="0.25">
      <c r="A93" s="26"/>
      <c r="B93" s="11" t="str">
        <f>CONCATENATE("          ", "6373", " - ", "MAINTENANCE CONTRACTS")</f>
        <v xml:space="preserve">          6373 - MAINTENANCE CONTRACTS</v>
      </c>
      <c r="C93" s="11"/>
      <c r="D93" s="7">
        <v>48.23</v>
      </c>
      <c r="E93" s="2"/>
      <c r="F93" s="6">
        <f t="shared" si="37"/>
        <v>2.0056138891776697E-3</v>
      </c>
      <c r="G93" s="2"/>
      <c r="H93" s="7"/>
      <c r="I93" s="2"/>
      <c r="J93" s="6">
        <f t="shared" si="38"/>
        <v>0</v>
      </c>
      <c r="K93" s="2"/>
      <c r="L93" s="7">
        <f t="shared" si="39"/>
        <v>48.23</v>
      </c>
      <c r="M93" s="2"/>
      <c r="N93" s="6">
        <f t="shared" si="40"/>
        <v>0</v>
      </c>
      <c r="O93" s="11"/>
      <c r="P93" s="7">
        <v>144.66999999999999</v>
      </c>
      <c r="Q93" s="2"/>
      <c r="R93" s="6">
        <f t="shared" si="41"/>
        <v>6.9457407394604492E-4</v>
      </c>
      <c r="S93" s="2"/>
      <c r="T93" s="7"/>
      <c r="U93" s="2"/>
      <c r="V93" s="6">
        <f t="shared" si="42"/>
        <v>0</v>
      </c>
      <c r="W93" s="2"/>
      <c r="X93" s="7">
        <f t="shared" si="43"/>
        <v>144.66999999999999</v>
      </c>
      <c r="Y93" s="2"/>
      <c r="Z93" s="6">
        <f t="shared" si="44"/>
        <v>0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7">
        <v>165.56</v>
      </c>
      <c r="E94" s="2"/>
      <c r="F94" s="6">
        <f t="shared" si="37"/>
        <v>6.8847073500363882E-3</v>
      </c>
      <c r="G94" s="2"/>
      <c r="H94" s="7">
        <v>100</v>
      </c>
      <c r="I94" s="2"/>
      <c r="J94" s="6">
        <f t="shared" si="38"/>
        <v>2.5133837685676224E-3</v>
      </c>
      <c r="K94" s="2"/>
      <c r="L94" s="7">
        <f t="shared" si="39"/>
        <v>65.56</v>
      </c>
      <c r="M94" s="2"/>
      <c r="N94" s="6">
        <f t="shared" si="40"/>
        <v>0.65560000000000007</v>
      </c>
      <c r="O94" s="11"/>
      <c r="P94" s="7">
        <v>165.56</v>
      </c>
      <c r="Q94" s="2"/>
      <c r="R94" s="6">
        <f t="shared" si="41"/>
        <v>7.9486889944361107E-4</v>
      </c>
      <c r="S94" s="2"/>
      <c r="T94" s="7">
        <v>900</v>
      </c>
      <c r="U94" s="2"/>
      <c r="V94" s="6">
        <f t="shared" si="42"/>
        <v>2.1299254526091589E-3</v>
      </c>
      <c r="W94" s="2"/>
      <c r="X94" s="7">
        <f t="shared" si="43"/>
        <v>-734.44</v>
      </c>
      <c r="Y94" s="2"/>
      <c r="Z94" s="6">
        <f t="shared" si="44"/>
        <v>-0.81604444444444446</v>
      </c>
    </row>
    <row r="95" spans="1:26" s="25" customFormat="1" outlineLevel="1" collapsed="1" x14ac:dyDescent="0.25">
      <c r="A95" s="27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SUM(OSRRefD22_14x_0)</f>
        <v>250.83999999999997</v>
      </c>
      <c r="E95" s="1"/>
      <c r="F95" s="5">
        <f t="shared" ref="F95:F98" si="45">IF(D$12=0,0,D95/D$12)</f>
        <v>1.0431021935752158E-2</v>
      </c>
      <c r="G95" s="1"/>
      <c r="H95" s="1">
        <f>SUM(OSRRefH22_14x_0)</f>
        <v>210</v>
      </c>
      <c r="I95" s="1"/>
      <c r="J95" s="5">
        <f t="shared" ref="J95:J98" si="46">IF(H$12=0,0,H95/H$12)</f>
        <v>5.278105913992007E-3</v>
      </c>
      <c r="K95" s="1"/>
      <c r="L95" s="1">
        <f t="shared" ref="L95:L98" si="47">+D95-H95</f>
        <v>40.839999999999975</v>
      </c>
      <c r="M95" s="1"/>
      <c r="N95" s="5">
        <f t="shared" ref="N95:N98" si="48">IF(H95=0,0,L95/H95)</f>
        <v>0.19447619047619036</v>
      </c>
      <c r="O95" s="13"/>
      <c r="P95" s="1">
        <f>SUM(OSRRefP22_14x_0)</f>
        <v>607.34</v>
      </c>
      <c r="Q95" s="1"/>
      <c r="R95" s="5">
        <f t="shared" ref="R95:R98" si="49">IF(P$12=0,0,P95/P$12)</f>
        <v>2.9158956111867769E-3</v>
      </c>
      <c r="S95" s="1"/>
      <c r="T95" s="1">
        <f>SUM(OSRRefT22_14x_0)</f>
        <v>1885</v>
      </c>
      <c r="U95" s="1"/>
      <c r="V95" s="5">
        <f t="shared" ref="V95:V98" si="50">IF(T$12=0,0,T95/T$12)</f>
        <v>4.4610105312980711E-3</v>
      </c>
      <c r="W95" s="1"/>
      <c r="X95" s="1">
        <f t="shared" ref="X95:X98" si="51">+P95-T95</f>
        <v>-1277.6599999999999</v>
      </c>
      <c r="Y95" s="1"/>
      <c r="Z95" s="5">
        <f t="shared" ref="Z95:Z98" si="52">IF(T95=0,0,X95/T95)</f>
        <v>-0.6778037135278514</v>
      </c>
    </row>
    <row r="96" spans="1:26" s="24" customFormat="1" hidden="1" outlineLevel="2" x14ac:dyDescent="0.25">
      <c r="A96" s="26"/>
      <c r="B96" s="11" t="str">
        <f>CONCATENATE("          ", "6283", " - ", "PLANT SERVICE")</f>
        <v xml:space="preserve">          6283 - PLANT SERVICE</v>
      </c>
      <c r="C96" s="11"/>
      <c r="D96" s="7"/>
      <c r="E96" s="2"/>
      <c r="F96" s="6">
        <f t="shared" si="45"/>
        <v>0</v>
      </c>
      <c r="G96" s="2"/>
      <c r="H96" s="7">
        <v>0</v>
      </c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>
        <v>41.31</v>
      </c>
      <c r="Q96" s="2"/>
      <c r="R96" s="6">
        <f t="shared" si="49"/>
        <v>1.9833313744875317E-4</v>
      </c>
      <c r="S96" s="2"/>
      <c r="T96" s="7">
        <v>0</v>
      </c>
      <c r="U96" s="2"/>
      <c r="V96" s="6">
        <f t="shared" si="50"/>
        <v>0</v>
      </c>
      <c r="W96" s="2"/>
      <c r="X96" s="7">
        <f t="shared" si="51"/>
        <v>41.31</v>
      </c>
      <c r="Y96" s="2"/>
      <c r="Z96" s="6">
        <f t="shared" si="52"/>
        <v>0</v>
      </c>
    </row>
    <row r="97" spans="1:26" s="24" customFormat="1" hidden="1" outlineLevel="2" x14ac:dyDescent="0.25">
      <c r="A97" s="26"/>
      <c r="B97" s="11" t="str">
        <f>CONCATENATE("          ", "6284", " - ", "TRASH REMOVAL EXPENSE")</f>
        <v xml:space="preserve">          6284 - TRASH REMOVAL EXPENSE</v>
      </c>
      <c r="C97" s="11"/>
      <c r="D97" s="7">
        <v>142.57</v>
      </c>
      <c r="E97" s="2"/>
      <c r="F97" s="6">
        <f t="shared" si="45"/>
        <v>5.9286828152614636E-3</v>
      </c>
      <c r="G97" s="2"/>
      <c r="H97" s="7">
        <v>110</v>
      </c>
      <c r="I97" s="2"/>
      <c r="J97" s="6">
        <f t="shared" si="46"/>
        <v>2.764722145424385E-3</v>
      </c>
      <c r="K97" s="2"/>
      <c r="L97" s="7">
        <f t="shared" si="47"/>
        <v>32.569999999999993</v>
      </c>
      <c r="M97" s="2"/>
      <c r="N97" s="6">
        <f t="shared" si="48"/>
        <v>0.29609090909090902</v>
      </c>
      <c r="O97" s="11"/>
      <c r="P97" s="7">
        <v>1298.1500000000001</v>
      </c>
      <c r="Q97" s="2"/>
      <c r="R97" s="6">
        <f t="shared" si="49"/>
        <v>6.2325384260251493E-3</v>
      </c>
      <c r="S97" s="2"/>
      <c r="T97" s="7">
        <v>660</v>
      </c>
      <c r="U97" s="2"/>
      <c r="V97" s="6">
        <f t="shared" si="50"/>
        <v>1.561945331913383E-3</v>
      </c>
      <c r="W97" s="2"/>
      <c r="X97" s="7">
        <f t="shared" si="51"/>
        <v>638.15000000000009</v>
      </c>
      <c r="Y97" s="2"/>
      <c r="Z97" s="6">
        <f t="shared" si="52"/>
        <v>0.96689393939393953</v>
      </c>
    </row>
    <row r="98" spans="1:26" s="24" customFormat="1" hidden="1" outlineLevel="2" x14ac:dyDescent="0.25">
      <c r="A98" s="26"/>
      <c r="B98" s="11" t="str">
        <f>CONCATENATE("          ", "6285", " - ", "JANITORIAL SERVICES")</f>
        <v xml:space="preserve">          6285 - JANITORIAL SERVICES</v>
      </c>
      <c r="C98" s="11"/>
      <c r="D98" s="7">
        <v>108.27</v>
      </c>
      <c r="E98" s="2"/>
      <c r="F98" s="6">
        <f t="shared" si="45"/>
        <v>4.5023391204906966E-3</v>
      </c>
      <c r="G98" s="2"/>
      <c r="H98" s="7">
        <v>100</v>
      </c>
      <c r="I98" s="2"/>
      <c r="J98" s="6">
        <f t="shared" si="46"/>
        <v>2.5133837685676224E-3</v>
      </c>
      <c r="K98" s="2"/>
      <c r="L98" s="7">
        <f t="shared" si="47"/>
        <v>8.269999999999996</v>
      </c>
      <c r="M98" s="2"/>
      <c r="N98" s="6">
        <f t="shared" si="48"/>
        <v>8.2699999999999954E-2</v>
      </c>
      <c r="O98" s="11"/>
      <c r="P98" s="7">
        <v>-732.12</v>
      </c>
      <c r="Q98" s="2"/>
      <c r="R98" s="6">
        <f t="shared" si="49"/>
        <v>-3.5149759522871255E-3</v>
      </c>
      <c r="S98" s="2"/>
      <c r="T98" s="7">
        <v>1225</v>
      </c>
      <c r="U98" s="2"/>
      <c r="V98" s="6">
        <f t="shared" si="50"/>
        <v>2.8990651993846882E-3</v>
      </c>
      <c r="W98" s="2"/>
      <c r="X98" s="7">
        <f t="shared" si="51"/>
        <v>-1957.12</v>
      </c>
      <c r="Y98" s="2"/>
      <c r="Z98" s="6">
        <f t="shared" si="52"/>
        <v>-1.5976489795918367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SUM(OSRRefD22_15x_0)</f>
        <v>75</v>
      </c>
      <c r="E99" s="1"/>
      <c r="F99" s="5">
        <f t="shared" ref="F99:F101" si="53">IF(D$12=0,0,D99/D$12)</f>
        <v>3.1188273209273322E-3</v>
      </c>
      <c r="G99" s="1"/>
      <c r="H99" s="1">
        <f>SUM(OSRRefH22_15x_0)</f>
        <v>0</v>
      </c>
      <c r="I99" s="1"/>
      <c r="J99" s="5">
        <f t="shared" ref="J99:J101" si="54">IF(H$12=0,0,H99/H$12)</f>
        <v>0</v>
      </c>
      <c r="K99" s="1"/>
      <c r="L99" s="1">
        <f t="shared" ref="L99:L101" si="55">+D99-H99</f>
        <v>75</v>
      </c>
      <c r="M99" s="1"/>
      <c r="N99" s="5">
        <f t="shared" ref="N99:N101" si="56">IF(H99=0,0,L99/H99)</f>
        <v>0</v>
      </c>
      <c r="O99" s="13"/>
      <c r="P99" s="1">
        <f>SUM(OSRRefP22_15x_0)</f>
        <v>239.27</v>
      </c>
      <c r="Q99" s="1"/>
      <c r="R99" s="5">
        <f t="shared" ref="R99:R101" si="57">IF(P$12=0,0,P99/P$12)</f>
        <v>1.148757438812955E-3</v>
      </c>
      <c r="S99" s="1"/>
      <c r="T99" s="1">
        <f>SUM(OSRRefT22_15x_0)</f>
        <v>395</v>
      </c>
      <c r="U99" s="1"/>
      <c r="V99" s="5">
        <f t="shared" ref="V99:V101" si="58">IF(T$12=0,0,T99/T$12)</f>
        <v>9.3480061531179745E-4</v>
      </c>
      <c r="W99" s="1"/>
      <c r="X99" s="1">
        <f t="shared" ref="X99:X101" si="59">+P99-T99</f>
        <v>-155.72999999999999</v>
      </c>
      <c r="Y99" s="1"/>
      <c r="Z99" s="5">
        <f t="shared" ref="Z99:Z101" si="60">IF(T99=0,0,X99/T99)</f>
        <v>-0.39425316455696202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53"/>
        <v>0</v>
      </c>
      <c r="G100" s="2"/>
      <c r="H100" s="7">
        <v>0</v>
      </c>
      <c r="I100" s="2"/>
      <c r="J100" s="6">
        <f t="shared" si="54"/>
        <v>0</v>
      </c>
      <c r="K100" s="2"/>
      <c r="L100" s="7">
        <f t="shared" si="55"/>
        <v>0</v>
      </c>
      <c r="M100" s="2"/>
      <c r="N100" s="6">
        <f t="shared" si="56"/>
        <v>0</v>
      </c>
      <c r="O100" s="11"/>
      <c r="P100" s="7">
        <v>-60.73</v>
      </c>
      <c r="Q100" s="2"/>
      <c r="R100" s="6">
        <f t="shared" si="57"/>
        <v>-2.9157035674807016E-4</v>
      </c>
      <c r="S100" s="2"/>
      <c r="T100" s="7">
        <v>395</v>
      </c>
      <c r="U100" s="2"/>
      <c r="V100" s="6">
        <f t="shared" si="58"/>
        <v>9.3480061531179745E-4</v>
      </c>
      <c r="W100" s="2"/>
      <c r="X100" s="7">
        <f t="shared" si="59"/>
        <v>-455.73</v>
      </c>
      <c r="Y100" s="2"/>
      <c r="Z100" s="6">
        <f t="shared" si="60"/>
        <v>-1.153746835443038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>
        <v>75</v>
      </c>
      <c r="E101" s="2"/>
      <c r="F101" s="6">
        <f t="shared" si="53"/>
        <v>3.1188273209273322E-3</v>
      </c>
      <c r="G101" s="2"/>
      <c r="H101" s="7">
        <v>0</v>
      </c>
      <c r="I101" s="2"/>
      <c r="J101" s="6">
        <f t="shared" si="54"/>
        <v>0</v>
      </c>
      <c r="K101" s="2"/>
      <c r="L101" s="7">
        <f t="shared" si="55"/>
        <v>75</v>
      </c>
      <c r="M101" s="2"/>
      <c r="N101" s="6">
        <f t="shared" si="56"/>
        <v>0</v>
      </c>
      <c r="O101" s="11"/>
      <c r="P101" s="7">
        <v>300</v>
      </c>
      <c r="Q101" s="2"/>
      <c r="R101" s="6">
        <f t="shared" si="57"/>
        <v>1.440327795561025E-3</v>
      </c>
      <c r="S101" s="2"/>
      <c r="T101" s="7">
        <v>0</v>
      </c>
      <c r="U101" s="2"/>
      <c r="V101" s="6">
        <f t="shared" si="58"/>
        <v>0</v>
      </c>
      <c r="W101" s="2"/>
      <c r="X101" s="7">
        <f t="shared" si="59"/>
        <v>300</v>
      </c>
      <c r="Y101" s="2"/>
      <c r="Z101" s="6">
        <f t="shared" si="60"/>
        <v>0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SUM(OSRRefD22_16x_0)</f>
        <v>0</v>
      </c>
      <c r="E102" s="1"/>
      <c r="F102" s="5">
        <f t="shared" ref="F102:F108" si="61">IF(D$12=0,0,D102/D$12)</f>
        <v>0</v>
      </c>
      <c r="G102" s="1"/>
      <c r="H102" s="1">
        <f>SUM(OSRRefH22_16x_0)</f>
        <v>170</v>
      </c>
      <c r="I102" s="1"/>
      <c r="J102" s="5">
        <f t="shared" ref="J102:J108" si="62">IF(H$12=0,0,H102/H$12)</f>
        <v>4.2727524065649582E-3</v>
      </c>
      <c r="K102" s="1"/>
      <c r="L102" s="1">
        <f t="shared" ref="L102:L108" si="63">+D102-H102</f>
        <v>-170</v>
      </c>
      <c r="M102" s="1"/>
      <c r="N102" s="5">
        <f t="shared" ref="N102:N108" si="64">IF(H102=0,0,L102/H102)</f>
        <v>-1</v>
      </c>
      <c r="O102" s="13"/>
      <c r="P102" s="1">
        <f>SUM(OSRRefP22_16x_0)</f>
        <v>559.15</v>
      </c>
      <c r="Q102" s="1"/>
      <c r="R102" s="5">
        <f t="shared" ref="R102:R108" si="65">IF(P$12=0,0,P102/P$12)</f>
        <v>2.6845309562931572E-3</v>
      </c>
      <c r="S102" s="1"/>
      <c r="T102" s="1">
        <f>SUM(OSRRefT22_16x_0)</f>
        <v>1585</v>
      </c>
      <c r="U102" s="1"/>
      <c r="V102" s="5">
        <f t="shared" ref="V102:V108" si="66">IF(T$12=0,0,T102/T$12)</f>
        <v>3.7510353804283518E-3</v>
      </c>
      <c r="W102" s="1"/>
      <c r="X102" s="1">
        <f t="shared" ref="X102:X108" si="67">+P102-T102</f>
        <v>-1025.8499999999999</v>
      </c>
      <c r="Y102" s="1"/>
      <c r="Z102" s="5">
        <f t="shared" ref="Z102:Z108" si="68">IF(T102=0,0,X102/T102)</f>
        <v>-0.64722397476340687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/>
      <c r="E103" s="2"/>
      <c r="F103" s="6">
        <f t="shared" si="61"/>
        <v>0</v>
      </c>
      <c r="G103" s="2"/>
      <c r="H103" s="7">
        <v>0</v>
      </c>
      <c r="I103" s="2"/>
      <c r="J103" s="6">
        <f t="shared" si="62"/>
        <v>0</v>
      </c>
      <c r="K103" s="2"/>
      <c r="L103" s="7">
        <f t="shared" si="63"/>
        <v>0</v>
      </c>
      <c r="M103" s="2"/>
      <c r="N103" s="6">
        <f t="shared" si="64"/>
        <v>0</v>
      </c>
      <c r="O103" s="11"/>
      <c r="P103" s="7"/>
      <c r="Q103" s="2"/>
      <c r="R103" s="6">
        <f t="shared" si="65"/>
        <v>0</v>
      </c>
      <c r="S103" s="2"/>
      <c r="T103" s="7">
        <v>0</v>
      </c>
      <c r="U103" s="2"/>
      <c r="V103" s="6">
        <f t="shared" si="66"/>
        <v>0</v>
      </c>
      <c r="W103" s="2"/>
      <c r="X103" s="7">
        <f t="shared" si="67"/>
        <v>0</v>
      </c>
      <c r="Y103" s="2"/>
      <c r="Z103" s="6">
        <f t="shared" si="68"/>
        <v>0</v>
      </c>
    </row>
    <row r="104" spans="1:26" s="24" customFormat="1" hidden="1" outlineLevel="2" x14ac:dyDescent="0.25">
      <c r="A104" s="26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61"/>
        <v>0</v>
      </c>
      <c r="G104" s="2"/>
      <c r="H104" s="7">
        <v>100</v>
      </c>
      <c r="I104" s="2"/>
      <c r="J104" s="6">
        <f t="shared" si="62"/>
        <v>2.5133837685676224E-3</v>
      </c>
      <c r="K104" s="2"/>
      <c r="L104" s="7">
        <f t="shared" si="63"/>
        <v>-100</v>
      </c>
      <c r="M104" s="2"/>
      <c r="N104" s="6">
        <f t="shared" si="64"/>
        <v>-1</v>
      </c>
      <c r="O104" s="11"/>
      <c r="P104" s="7">
        <v>265.7</v>
      </c>
      <c r="Q104" s="2"/>
      <c r="R104" s="6">
        <f t="shared" si="65"/>
        <v>1.2756503176018811E-3</v>
      </c>
      <c r="S104" s="2"/>
      <c r="T104" s="7">
        <v>900</v>
      </c>
      <c r="U104" s="2"/>
      <c r="V104" s="6">
        <f t="shared" si="66"/>
        <v>2.1299254526091589E-3</v>
      </c>
      <c r="W104" s="2"/>
      <c r="X104" s="7">
        <f t="shared" si="67"/>
        <v>-634.29999999999995</v>
      </c>
      <c r="Y104" s="2"/>
      <c r="Z104" s="6">
        <f t="shared" si="68"/>
        <v>-0.70477777777777773</v>
      </c>
    </row>
    <row r="105" spans="1:26" s="24" customFormat="1" hidden="1" outlineLevel="2" x14ac:dyDescent="0.25">
      <c r="A105" s="26"/>
      <c r="B105" s="11" t="str">
        <f>CONCATENATE("          ", "6237", " - ", "JANITORIAL SUPPLIES")</f>
        <v xml:space="preserve">          6237 - JANITORIAL SUPPLIES</v>
      </c>
      <c r="C105" s="11"/>
      <c r="D105" s="7"/>
      <c r="E105" s="2"/>
      <c r="F105" s="6">
        <f t="shared" si="61"/>
        <v>0</v>
      </c>
      <c r="G105" s="2"/>
      <c r="H105" s="7">
        <v>20</v>
      </c>
      <c r="I105" s="2"/>
      <c r="J105" s="6">
        <f t="shared" si="62"/>
        <v>5.026767537135245E-4</v>
      </c>
      <c r="K105" s="2"/>
      <c r="L105" s="7">
        <f t="shared" si="63"/>
        <v>-20</v>
      </c>
      <c r="M105" s="2"/>
      <c r="N105" s="6">
        <f t="shared" si="64"/>
        <v>-1</v>
      </c>
      <c r="O105" s="11"/>
      <c r="P105" s="7">
        <v>191.74</v>
      </c>
      <c r="Q105" s="2"/>
      <c r="R105" s="6">
        <f t="shared" si="65"/>
        <v>9.205615050695699E-4</v>
      </c>
      <c r="S105" s="2"/>
      <c r="T105" s="7">
        <v>160</v>
      </c>
      <c r="U105" s="2"/>
      <c r="V105" s="6">
        <f t="shared" si="66"/>
        <v>3.7865341379718376E-4</v>
      </c>
      <c r="W105" s="2"/>
      <c r="X105" s="7">
        <f t="shared" si="67"/>
        <v>31.740000000000009</v>
      </c>
      <c r="Y105" s="2"/>
      <c r="Z105" s="6">
        <f t="shared" si="68"/>
        <v>0.19837500000000005</v>
      </c>
    </row>
    <row r="106" spans="1:26" s="24" customFormat="1" hidden="1" outlineLevel="2" x14ac:dyDescent="0.25">
      <c r="A106" s="26"/>
      <c r="B106" s="11" t="str">
        <f>CONCATENATE("          ", "6241", " - ", "OFFICE EXPENSE")</f>
        <v xml:space="preserve">          6241 - OFFICE EXPENSE</v>
      </c>
      <c r="C106" s="11"/>
      <c r="D106" s="7"/>
      <c r="E106" s="2"/>
      <c r="F106" s="6">
        <f t="shared" si="61"/>
        <v>0</v>
      </c>
      <c r="G106" s="2"/>
      <c r="H106" s="7">
        <v>25</v>
      </c>
      <c r="I106" s="2"/>
      <c r="J106" s="6">
        <f t="shared" si="62"/>
        <v>6.283459421419056E-4</v>
      </c>
      <c r="K106" s="2"/>
      <c r="L106" s="7">
        <f t="shared" si="63"/>
        <v>-25</v>
      </c>
      <c r="M106" s="2"/>
      <c r="N106" s="6">
        <f t="shared" si="64"/>
        <v>-1</v>
      </c>
      <c r="O106" s="11"/>
      <c r="P106" s="7">
        <v>101.71</v>
      </c>
      <c r="Q106" s="2"/>
      <c r="R106" s="6">
        <f t="shared" si="65"/>
        <v>4.8831913362170612E-4</v>
      </c>
      <c r="S106" s="2"/>
      <c r="T106" s="7">
        <v>225</v>
      </c>
      <c r="U106" s="2"/>
      <c r="V106" s="6">
        <f t="shared" si="66"/>
        <v>5.3248136315228972E-4</v>
      </c>
      <c r="W106" s="2"/>
      <c r="X106" s="7">
        <f t="shared" si="67"/>
        <v>-123.29</v>
      </c>
      <c r="Y106" s="2"/>
      <c r="Z106" s="6">
        <f t="shared" si="68"/>
        <v>-0.54795555555555553</v>
      </c>
    </row>
    <row r="107" spans="1:26" s="24" customFormat="1" hidden="1" outlineLevel="2" x14ac:dyDescent="0.25">
      <c r="A107" s="26"/>
      <c r="B107" s="11" t="str">
        <f>CONCATENATE("          ", "6244", " - ", "SAFETY SUPPLY EXPENSE")</f>
        <v xml:space="preserve">          6244 - SAFETY SUPPLY EXPENSE</v>
      </c>
      <c r="C107" s="11"/>
      <c r="D107" s="7"/>
      <c r="E107" s="2"/>
      <c r="F107" s="6">
        <f t="shared" si="61"/>
        <v>0</v>
      </c>
      <c r="G107" s="2"/>
      <c r="H107" s="7">
        <v>0</v>
      </c>
      <c r="I107" s="2"/>
      <c r="J107" s="6">
        <f t="shared" si="62"/>
        <v>0</v>
      </c>
      <c r="K107" s="2"/>
      <c r="L107" s="7">
        <f t="shared" si="63"/>
        <v>0</v>
      </c>
      <c r="M107" s="2"/>
      <c r="N107" s="6">
        <f t="shared" si="64"/>
        <v>0</v>
      </c>
      <c r="O107" s="11"/>
      <c r="P107" s="7"/>
      <c r="Q107" s="2"/>
      <c r="R107" s="6">
        <f t="shared" si="65"/>
        <v>0</v>
      </c>
      <c r="S107" s="2"/>
      <c r="T107" s="7">
        <v>75</v>
      </c>
      <c r="U107" s="2"/>
      <c r="V107" s="6">
        <f t="shared" si="66"/>
        <v>1.7749378771742989E-4</v>
      </c>
      <c r="W107" s="2"/>
      <c r="X107" s="7">
        <f t="shared" si="67"/>
        <v>-75</v>
      </c>
      <c r="Y107" s="2"/>
      <c r="Z107" s="6">
        <f t="shared" si="68"/>
        <v>-1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61"/>
        <v>0</v>
      </c>
      <c r="G108" s="2"/>
      <c r="H108" s="7">
        <v>25</v>
      </c>
      <c r="I108" s="2"/>
      <c r="J108" s="6">
        <f t="shared" si="62"/>
        <v>6.283459421419056E-4</v>
      </c>
      <c r="K108" s="2"/>
      <c r="L108" s="7">
        <f t="shared" si="63"/>
        <v>-25</v>
      </c>
      <c r="M108" s="2"/>
      <c r="N108" s="6">
        <f t="shared" si="64"/>
        <v>-1</v>
      </c>
      <c r="O108" s="11"/>
      <c r="P108" s="7"/>
      <c r="Q108" s="2"/>
      <c r="R108" s="6">
        <f t="shared" si="65"/>
        <v>0</v>
      </c>
      <c r="S108" s="2"/>
      <c r="T108" s="7">
        <v>225</v>
      </c>
      <c r="U108" s="2"/>
      <c r="V108" s="6">
        <f t="shared" si="66"/>
        <v>5.3248136315228972E-4</v>
      </c>
      <c r="W108" s="2"/>
      <c r="X108" s="7">
        <f t="shared" si="67"/>
        <v>-225</v>
      </c>
      <c r="Y108" s="2"/>
      <c r="Z108" s="6">
        <f t="shared" si="68"/>
        <v>-1</v>
      </c>
    </row>
    <row r="109" spans="1:26" s="25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SUM(OSRRefD22_17x_0)</f>
        <v>231.15</v>
      </c>
      <c r="E109" s="1"/>
      <c r="F109" s="5">
        <f t="shared" ref="F109:F111" si="69">IF(D$12=0,0,D109/D$12)</f>
        <v>9.612225803098038E-3</v>
      </c>
      <c r="G109" s="1"/>
      <c r="H109" s="1">
        <f>SUM(OSRRefH22_17x_0)</f>
        <v>230</v>
      </c>
      <c r="I109" s="1"/>
      <c r="J109" s="5">
        <f t="shared" ref="J109:J111" si="70">IF(H$12=0,0,H109/H$12)</f>
        <v>5.7807826677055323E-3</v>
      </c>
      <c r="K109" s="1"/>
      <c r="L109" s="1">
        <f t="shared" ref="L109:L111" si="71">+D109-H109</f>
        <v>1.1500000000000057</v>
      </c>
      <c r="M109" s="1"/>
      <c r="N109" s="5">
        <f t="shared" ref="N109:N111" si="72">IF(H109=0,0,L109/H109)</f>
        <v>5.0000000000000244E-3</v>
      </c>
      <c r="O109" s="13"/>
      <c r="P109" s="1">
        <f>SUM(OSRRefP22_17x_0)</f>
        <v>2558.79</v>
      </c>
      <c r="Q109" s="1"/>
      <c r="R109" s="5">
        <f t="shared" ref="R109:R111" si="73">IF(P$12=0,0,P109/P$12)</f>
        <v>1.2284987866678651E-2</v>
      </c>
      <c r="S109" s="1"/>
      <c r="T109" s="1">
        <f>SUM(OSRRefT22_17x_0)</f>
        <v>2070</v>
      </c>
      <c r="U109" s="1"/>
      <c r="V109" s="5">
        <f t="shared" ref="V109:V111" si="74">IF(T$12=0,0,T109/T$12)</f>
        <v>4.8988285410010652E-3</v>
      </c>
      <c r="W109" s="1"/>
      <c r="X109" s="1">
        <f t="shared" ref="X109:X111" si="75">+P109-T109</f>
        <v>488.78999999999996</v>
      </c>
      <c r="Y109" s="1"/>
      <c r="Z109" s="5">
        <f t="shared" ref="Z109:Z111" si="76">IF(T109=0,0,X109/T109)</f>
        <v>0.23613043478260867</v>
      </c>
    </row>
    <row r="110" spans="1:26" s="24" customFormat="1" hidden="1" outlineLevel="2" x14ac:dyDescent="0.25">
      <c r="A110" s="26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69"/>
        <v>0</v>
      </c>
      <c r="G110" s="2"/>
      <c r="H110" s="7">
        <v>230</v>
      </c>
      <c r="I110" s="2"/>
      <c r="J110" s="6">
        <f t="shared" si="70"/>
        <v>5.7807826677055323E-3</v>
      </c>
      <c r="K110" s="2"/>
      <c r="L110" s="7">
        <f t="shared" si="71"/>
        <v>-230</v>
      </c>
      <c r="M110" s="2"/>
      <c r="N110" s="6">
        <f t="shared" si="72"/>
        <v>-1</v>
      </c>
      <c r="O110" s="11"/>
      <c r="P110" s="7"/>
      <c r="Q110" s="2"/>
      <c r="R110" s="6">
        <f t="shared" si="73"/>
        <v>0</v>
      </c>
      <c r="S110" s="2"/>
      <c r="T110" s="7">
        <v>2070</v>
      </c>
      <c r="U110" s="2"/>
      <c r="V110" s="6">
        <f t="shared" si="74"/>
        <v>4.8988285410010652E-3</v>
      </c>
      <c r="W110" s="2"/>
      <c r="X110" s="7">
        <f t="shared" si="75"/>
        <v>-2070</v>
      </c>
      <c r="Y110" s="2"/>
      <c r="Z110" s="6">
        <f t="shared" si="76"/>
        <v>-1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7">
        <v>231.15</v>
      </c>
      <c r="E111" s="2"/>
      <c r="F111" s="6">
        <f t="shared" si="69"/>
        <v>9.612225803098038E-3</v>
      </c>
      <c r="G111" s="2"/>
      <c r="H111" s="7"/>
      <c r="I111" s="2"/>
      <c r="J111" s="6">
        <f t="shared" si="70"/>
        <v>0</v>
      </c>
      <c r="K111" s="2"/>
      <c r="L111" s="7">
        <f t="shared" si="71"/>
        <v>231.15</v>
      </c>
      <c r="M111" s="2"/>
      <c r="N111" s="6">
        <f t="shared" si="72"/>
        <v>0</v>
      </c>
      <c r="O111" s="11"/>
      <c r="P111" s="7">
        <v>2558.79</v>
      </c>
      <c r="Q111" s="2"/>
      <c r="R111" s="6">
        <f t="shared" si="73"/>
        <v>1.2284987866678651E-2</v>
      </c>
      <c r="S111" s="2"/>
      <c r="T111" s="7"/>
      <c r="U111" s="2"/>
      <c r="V111" s="6">
        <f t="shared" si="74"/>
        <v>0</v>
      </c>
      <c r="W111" s="2"/>
      <c r="X111" s="7">
        <f t="shared" si="75"/>
        <v>2558.79</v>
      </c>
      <c r="Y111" s="2"/>
      <c r="Z111" s="6">
        <f t="shared" si="76"/>
        <v>0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SUM(OSRRefD22_18x_0)</f>
        <v>0</v>
      </c>
      <c r="E112" s="1"/>
      <c r="F112" s="5">
        <f t="shared" ref="F112:F116" si="77">IF(D$12=0,0,D112/D$12)</f>
        <v>0</v>
      </c>
      <c r="G112" s="1"/>
      <c r="H112" s="1">
        <f>SUM(OSRRefH22_18x_0)</f>
        <v>0</v>
      </c>
      <c r="I112" s="1"/>
      <c r="J112" s="5">
        <f t="shared" ref="J112:J116" si="78">IF(H$12=0,0,H112/H$12)</f>
        <v>0</v>
      </c>
      <c r="K112" s="1"/>
      <c r="L112" s="1">
        <f t="shared" ref="L112:L116" si="79">+D112-H112</f>
        <v>0</v>
      </c>
      <c r="M112" s="1"/>
      <c r="N112" s="5">
        <f t="shared" ref="N112:N116" si="80">IF(H112=0,0,L112/H112)</f>
        <v>0</v>
      </c>
      <c r="O112" s="13"/>
      <c r="P112" s="1">
        <f>SUM(OSRRefP22_18x_0)</f>
        <v>0</v>
      </c>
      <c r="Q112" s="1"/>
      <c r="R112" s="5">
        <f t="shared" ref="R112:R116" si="81">IF(P$12=0,0,P112/P$12)</f>
        <v>0</v>
      </c>
      <c r="S112" s="1"/>
      <c r="T112" s="1">
        <f>SUM(OSRRefT22_18x_0)</f>
        <v>0</v>
      </c>
      <c r="U112" s="1"/>
      <c r="V112" s="5">
        <f t="shared" ref="V112:V116" si="82">IF(T$12=0,0,T112/T$12)</f>
        <v>0</v>
      </c>
      <c r="W112" s="1"/>
      <c r="X112" s="1">
        <f t="shared" ref="X112:X116" si="83">+P112-T112</f>
        <v>0</v>
      </c>
      <c r="Y112" s="1"/>
      <c r="Z112" s="5">
        <f t="shared" ref="Z112:Z116" si="84">IF(T112=0,0,X112/T112)</f>
        <v>0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77"/>
        <v>0</v>
      </c>
      <c r="G113" s="2"/>
      <c r="H113" s="7">
        <v>0</v>
      </c>
      <c r="I113" s="2"/>
      <c r="J113" s="6">
        <f t="shared" si="78"/>
        <v>0</v>
      </c>
      <c r="K113" s="2"/>
      <c r="L113" s="7">
        <f t="shared" si="79"/>
        <v>0</v>
      </c>
      <c r="M113" s="2"/>
      <c r="N113" s="6">
        <f t="shared" si="80"/>
        <v>0</v>
      </c>
      <c r="O113" s="11"/>
      <c r="P113" s="7"/>
      <c r="Q113" s="2"/>
      <c r="R113" s="6">
        <f t="shared" si="81"/>
        <v>0</v>
      </c>
      <c r="S113" s="2"/>
      <c r="T113" s="7">
        <v>0</v>
      </c>
      <c r="U113" s="2"/>
      <c r="V113" s="6">
        <f t="shared" si="82"/>
        <v>0</v>
      </c>
      <c r="W113" s="2"/>
      <c r="X113" s="7">
        <f t="shared" si="83"/>
        <v>0</v>
      </c>
      <c r="Y113" s="2"/>
      <c r="Z113" s="6">
        <f t="shared" si="84"/>
        <v>0</v>
      </c>
    </row>
    <row r="114" spans="1:26" s="25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SUM(OSRRefD22_19x_0)</f>
        <v>93.02</v>
      </c>
      <c r="E114" s="1"/>
      <c r="F114" s="5">
        <f t="shared" si="77"/>
        <v>3.8681775652354726E-3</v>
      </c>
      <c r="G114" s="1"/>
      <c r="H114" s="1">
        <f>SUM(OSRRefH22_19x_0)</f>
        <v>25</v>
      </c>
      <c r="I114" s="1"/>
      <c r="J114" s="5">
        <f t="shared" si="78"/>
        <v>6.283459421419056E-4</v>
      </c>
      <c r="K114" s="1"/>
      <c r="L114" s="1">
        <f t="shared" si="79"/>
        <v>68.02</v>
      </c>
      <c r="M114" s="1"/>
      <c r="N114" s="5">
        <f t="shared" si="80"/>
        <v>2.7207999999999997</v>
      </c>
      <c r="O114" s="13"/>
      <c r="P114" s="1">
        <f>SUM(OSRRefP22_19x_0)</f>
        <v>474.36</v>
      </c>
      <c r="Q114" s="1"/>
      <c r="R114" s="5">
        <f t="shared" si="81"/>
        <v>2.2774463103410929E-3</v>
      </c>
      <c r="S114" s="1"/>
      <c r="T114" s="1">
        <f>SUM(OSRRefT22_19x_0)</f>
        <v>425</v>
      </c>
      <c r="U114" s="1"/>
      <c r="V114" s="5">
        <f t="shared" si="82"/>
        <v>1.0057981303987693E-3</v>
      </c>
      <c r="W114" s="1"/>
      <c r="X114" s="1">
        <f t="shared" si="83"/>
        <v>49.360000000000014</v>
      </c>
      <c r="Y114" s="1"/>
      <c r="Z114" s="5">
        <f t="shared" si="84"/>
        <v>0.11614117647058826</v>
      </c>
    </row>
    <row r="115" spans="1:26" s="24" customFormat="1" hidden="1" outlineLevel="2" x14ac:dyDescent="0.25">
      <c r="A115" s="26"/>
      <c r="B115" s="11" t="str">
        <f>CONCATENATE("          ", "6294", " - ", "TRAVEL OPERATIONAL")</f>
        <v xml:space="preserve">          6294 - TRAVEL OPERATIONAL</v>
      </c>
      <c r="C115" s="11"/>
      <c r="D115" s="7">
        <v>93.02</v>
      </c>
      <c r="E115" s="2"/>
      <c r="F115" s="6">
        <f t="shared" si="77"/>
        <v>3.8681775652354726E-3</v>
      </c>
      <c r="G115" s="2"/>
      <c r="H115" s="7"/>
      <c r="I115" s="2"/>
      <c r="J115" s="6">
        <f t="shared" si="78"/>
        <v>0</v>
      </c>
      <c r="K115" s="2"/>
      <c r="L115" s="7">
        <f t="shared" si="79"/>
        <v>93.02</v>
      </c>
      <c r="M115" s="2"/>
      <c r="N115" s="6">
        <f t="shared" si="80"/>
        <v>0</v>
      </c>
      <c r="O115" s="11"/>
      <c r="P115" s="7">
        <v>474.36</v>
      </c>
      <c r="Q115" s="2"/>
      <c r="R115" s="6">
        <f t="shared" si="81"/>
        <v>2.2774463103410929E-3</v>
      </c>
      <c r="S115" s="2"/>
      <c r="T115" s="7"/>
      <c r="U115" s="2"/>
      <c r="V115" s="6">
        <f t="shared" si="82"/>
        <v>0</v>
      </c>
      <c r="W115" s="2"/>
      <c r="X115" s="7">
        <f t="shared" si="83"/>
        <v>474.36</v>
      </c>
      <c r="Y115" s="2"/>
      <c r="Z115" s="6">
        <f t="shared" si="84"/>
        <v>0</v>
      </c>
    </row>
    <row r="116" spans="1:26" s="24" customFormat="1" hidden="1" outlineLevel="2" x14ac:dyDescent="0.25">
      <c r="A116" s="26"/>
      <c r="B116" s="11" t="str">
        <f>CONCATENATE("          ", "6298", " - ", "VEHICLE MILEAGE")</f>
        <v xml:space="preserve">          6298 - VEHICLE MILEAGE</v>
      </c>
      <c r="C116" s="11"/>
      <c r="D116" s="7"/>
      <c r="E116" s="2"/>
      <c r="F116" s="6">
        <f t="shared" si="77"/>
        <v>0</v>
      </c>
      <c r="G116" s="2"/>
      <c r="H116" s="7">
        <v>25</v>
      </c>
      <c r="I116" s="2"/>
      <c r="J116" s="6">
        <f t="shared" si="78"/>
        <v>6.283459421419056E-4</v>
      </c>
      <c r="K116" s="2"/>
      <c r="L116" s="7">
        <f t="shared" si="79"/>
        <v>-25</v>
      </c>
      <c r="M116" s="2"/>
      <c r="N116" s="6">
        <f t="shared" si="80"/>
        <v>-1</v>
      </c>
      <c r="O116" s="11"/>
      <c r="P116" s="7"/>
      <c r="Q116" s="2"/>
      <c r="R116" s="6">
        <f t="shared" si="81"/>
        <v>0</v>
      </c>
      <c r="S116" s="2"/>
      <c r="T116" s="7">
        <v>425</v>
      </c>
      <c r="U116" s="2"/>
      <c r="V116" s="6">
        <f t="shared" si="82"/>
        <v>1.0057981303987693E-3</v>
      </c>
      <c r="W116" s="2"/>
      <c r="X116" s="7">
        <f t="shared" si="83"/>
        <v>-425</v>
      </c>
      <c r="Y116" s="2"/>
      <c r="Z116" s="6">
        <f t="shared" si="84"/>
        <v>-1</v>
      </c>
    </row>
    <row r="117" spans="1:26" s="25" customFormat="1" outlineLevel="1" collapsed="1" x14ac:dyDescent="0.25">
      <c r="A117" s="27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SUM(OSRRefD22_20x_0)</f>
        <v>30.45</v>
      </c>
      <c r="E117" s="1"/>
      <c r="F117" s="5">
        <f t="shared" ref="F117:F118" si="85">IF(D$12=0,0,D117/D$12)</f>
        <v>1.2662438922964969E-3</v>
      </c>
      <c r="G117" s="1"/>
      <c r="H117" s="1">
        <f>SUM(OSRRefH22_20x_0)</f>
        <v>150</v>
      </c>
      <c r="I117" s="1"/>
      <c r="J117" s="5">
        <f t="shared" ref="J117:J118" si="86">IF(H$12=0,0,H117/H$12)</f>
        <v>3.7700756528514338E-3</v>
      </c>
      <c r="K117" s="1"/>
      <c r="L117" s="1">
        <f t="shared" ref="L117:L118" si="87">+D117-H117</f>
        <v>-119.55</v>
      </c>
      <c r="M117" s="1"/>
      <c r="N117" s="5">
        <f t="shared" ref="N117:N118" si="88">IF(H117=0,0,L117/H117)</f>
        <v>-0.79699999999999993</v>
      </c>
      <c r="O117" s="13"/>
      <c r="P117" s="1">
        <f>SUM(OSRRefP22_20x_0)</f>
        <v>235.6</v>
      </c>
      <c r="Q117" s="1"/>
      <c r="R117" s="5">
        <f t="shared" ref="R117:R118" si="89">IF(P$12=0,0,P117/P$12)</f>
        <v>1.1311374287805917E-3</v>
      </c>
      <c r="S117" s="1"/>
      <c r="T117" s="1">
        <f>SUM(OSRRefT22_20x_0)</f>
        <v>3925</v>
      </c>
      <c r="U117" s="1"/>
      <c r="V117" s="5">
        <f t="shared" ref="V117:V118" si="90">IF(T$12=0,0,T117/T$12)</f>
        <v>9.2888415572121644E-3</v>
      </c>
      <c r="W117" s="1"/>
      <c r="X117" s="1">
        <f t="shared" ref="X117:X118" si="91">+P117-T117</f>
        <v>-3689.4</v>
      </c>
      <c r="Y117" s="1"/>
      <c r="Z117" s="5">
        <f t="shared" ref="Z117:Z118" si="92">IF(T117=0,0,X117/T117)</f>
        <v>-0.93997452229299361</v>
      </c>
    </row>
    <row r="118" spans="1:26" s="24" customFormat="1" hidden="1" outlineLevel="2" x14ac:dyDescent="0.25">
      <c r="A118" s="26"/>
      <c r="B118" s="11" t="str">
        <f>CONCATENATE("          ", "6274", " - ", "UTILITIES")</f>
        <v xml:space="preserve">          6274 - UTILITIES</v>
      </c>
      <c r="C118" s="11"/>
      <c r="D118" s="7">
        <v>30.45</v>
      </c>
      <c r="E118" s="2"/>
      <c r="F118" s="6">
        <f t="shared" si="85"/>
        <v>1.2662438922964969E-3</v>
      </c>
      <c r="G118" s="2"/>
      <c r="H118" s="7">
        <v>150</v>
      </c>
      <c r="I118" s="2"/>
      <c r="J118" s="6">
        <f t="shared" si="86"/>
        <v>3.7700756528514338E-3</v>
      </c>
      <c r="K118" s="2"/>
      <c r="L118" s="7">
        <f t="shared" si="87"/>
        <v>-119.55</v>
      </c>
      <c r="M118" s="2"/>
      <c r="N118" s="6">
        <f t="shared" si="88"/>
        <v>-0.79699999999999993</v>
      </c>
      <c r="O118" s="11"/>
      <c r="P118" s="7">
        <v>235.6</v>
      </c>
      <c r="Q118" s="2"/>
      <c r="R118" s="6">
        <f t="shared" si="89"/>
        <v>1.1311374287805917E-3</v>
      </c>
      <c r="S118" s="2"/>
      <c r="T118" s="7">
        <v>3925</v>
      </c>
      <c r="U118" s="2"/>
      <c r="V118" s="6">
        <f t="shared" si="90"/>
        <v>9.2888415572121644E-3</v>
      </c>
      <c r="W118" s="2"/>
      <c r="X118" s="7">
        <f t="shared" si="91"/>
        <v>-3689.4</v>
      </c>
      <c r="Y118" s="2"/>
      <c r="Z118" s="6">
        <f t="shared" si="92"/>
        <v>-0.93997452229299361</v>
      </c>
    </row>
    <row r="119" spans="1:26" s="59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x14ac:dyDescent="0.25">
      <c r="A120" s="10"/>
      <c r="B120" s="28" t="s">
        <v>293</v>
      </c>
      <c r="C120" s="10"/>
      <c r="D120" s="4">
        <f>SUM(0)</f>
        <v>0</v>
      </c>
      <c r="E120" s="4"/>
      <c r="F120" s="12">
        <f>IF(D$12=0,0,D120/D$12)</f>
        <v>0</v>
      </c>
      <c r="G120" s="4"/>
      <c r="H120" s="4">
        <f>SUM(0)</f>
        <v>0</v>
      </c>
      <c r="I120" s="4"/>
      <c r="J120" s="12">
        <f>IF(H$12=0,0,H120/H$12)</f>
        <v>0</v>
      </c>
      <c r="K120" s="4"/>
      <c r="L120" s="4">
        <f>+D120-H120</f>
        <v>0</v>
      </c>
      <c r="M120" s="4"/>
      <c r="N120" s="12">
        <f>IF(H120=0,0,L120/H120)</f>
        <v>0</v>
      </c>
      <c r="O120" s="10"/>
      <c r="P120" s="4">
        <f>SUM(0)</f>
        <v>0</v>
      </c>
      <c r="Q120" s="4"/>
      <c r="R120" s="12">
        <f>IF(P$12=0,0,P120/P$12)</f>
        <v>0</v>
      </c>
      <c r="S120" s="4"/>
      <c r="T120" s="4">
        <f>SUM(0)</f>
        <v>0</v>
      </c>
      <c r="U120" s="4"/>
      <c r="V120" s="12">
        <f>IF(T$12=0,0,T120/T$12)</f>
        <v>0</v>
      </c>
      <c r="W120" s="4"/>
      <c r="X120" s="4">
        <f>+P120-T120</f>
        <v>0</v>
      </c>
      <c r="Y120" s="4"/>
      <c r="Z120" s="12">
        <f>IF(T120=0,0,X120/T120)</f>
        <v>0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9" t="s">
        <v>277</v>
      </c>
      <c r="C122" s="29"/>
      <c r="D122" s="20">
        <f>+D44-D46+D120</f>
        <v>-7720.9100000000108</v>
      </c>
      <c r="E122" s="14"/>
      <c r="F122" s="21">
        <f>IF(D$12=0,0,D122/D$12)</f>
        <v>-0.32106913400561443</v>
      </c>
      <c r="G122" s="14"/>
      <c r="H122" s="20">
        <f>+H44-H46+H120</f>
        <v>-1374.1787618461531</v>
      </c>
      <c r="I122" s="14"/>
      <c r="J122" s="21">
        <f>IF(H$12=0,0,H122/H$12)</f>
        <v>-3.4538385951344737E-2</v>
      </c>
      <c r="K122" s="16"/>
      <c r="L122" s="20">
        <f>+D122-H122</f>
        <v>-6346.7312381538577</v>
      </c>
      <c r="M122" s="16"/>
      <c r="N122" s="21">
        <f>IF(H122=0,0,L122/H122)</f>
        <v>4.6185630387907342</v>
      </c>
      <c r="O122" s="28"/>
      <c r="P122" s="20">
        <f>+P44-P46+P120</f>
        <v>-77596.920000000013</v>
      </c>
      <c r="Q122" s="14"/>
      <c r="R122" s="21">
        <f>IF(P$12=0,0,P122/P$12)</f>
        <v>-0.37255000241975078</v>
      </c>
      <c r="S122" s="14"/>
      <c r="T122" s="20">
        <f>+T44-T46+T120</f>
        <v>6973.0927239999874</v>
      </c>
      <c r="U122" s="14"/>
      <c r="V122" s="21">
        <f>IF(T$12=0,0,T122/T$12)</f>
        <v>1.6502408529168115E-2</v>
      </c>
      <c r="W122" s="16"/>
      <c r="X122" s="20">
        <f>+P122-T122</f>
        <v>-84570.012724</v>
      </c>
      <c r="Y122" s="16"/>
      <c r="Z122" s="21">
        <f>IF(T122=0,0,X122/T122)</f>
        <v>-12.128049356482379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128</v>
      </c>
      <c r="C124" s="10"/>
      <c r="D124" s="4">
        <v>6440.16</v>
      </c>
      <c r="E124" s="4"/>
      <c r="F124" s="12">
        <f>IF(D$12=0,0,D124/D$12)</f>
        <v>0.26780995945524488</v>
      </c>
      <c r="G124" s="4"/>
      <c r="H124" s="4">
        <v>8896</v>
      </c>
      <c r="I124" s="4"/>
      <c r="J124" s="12">
        <f>IF(H$12=0,0,H124/H$12)</f>
        <v>0.22359062005177571</v>
      </c>
      <c r="K124" s="4"/>
      <c r="L124" s="4">
        <f>+D124-H124</f>
        <v>-2455.84</v>
      </c>
      <c r="M124" s="4"/>
      <c r="N124" s="12">
        <f>IF(H124=0,0,L124/H124)</f>
        <v>-0.2760611510791367</v>
      </c>
      <c r="O124" s="10"/>
      <c r="P124" s="4">
        <v>42925.96</v>
      </c>
      <c r="Q124" s="4"/>
      <c r="R124" s="12">
        <f>IF(P$12=0,0,P124/P$12)</f>
        <v>0.20609151113046914</v>
      </c>
      <c r="S124" s="4"/>
      <c r="T124" s="4">
        <v>74724</v>
      </c>
      <c r="U124" s="4"/>
      <c r="V124" s="12">
        <f>IF(T$12=0,0,T124/T$12)</f>
        <v>0.17684061057862974</v>
      </c>
      <c r="W124" s="4"/>
      <c r="X124" s="4">
        <f>+P124-T124</f>
        <v>-31798.04</v>
      </c>
      <c r="Y124" s="4"/>
      <c r="Z124" s="12">
        <f>IF(T124=0,0,X124/T124)</f>
        <v>-0.42553985332690969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126</v>
      </c>
      <c r="C126" s="29"/>
      <c r="D126" s="34">
        <f>+D122-D124</f>
        <v>-14161.070000000011</v>
      </c>
      <c r="E126" s="14"/>
      <c r="F126" s="30">
        <f>IF(D$12=0,0,D126/D$12)</f>
        <v>-0.58887909346085932</v>
      </c>
      <c r="G126" s="14"/>
      <c r="H126" s="34">
        <f>+H122-H124</f>
        <v>-10270.178761846153</v>
      </c>
      <c r="I126" s="14"/>
      <c r="J126" s="30">
        <f>IF(H$12=0,0,H126/H$12)</f>
        <v>-0.25812900600312044</v>
      </c>
      <c r="K126" s="16"/>
      <c r="L126" s="34">
        <f>D126-H126</f>
        <v>-3890.8912381538576</v>
      </c>
      <c r="M126" s="16"/>
      <c r="N126" s="30">
        <f>IF(H126=0,0,L126/H126)</f>
        <v>0.37885331194122629</v>
      </c>
      <c r="O126" s="28"/>
      <c r="P126" s="34">
        <f>+P122-P124</f>
        <v>-120522.88</v>
      </c>
      <c r="Q126" s="14"/>
      <c r="R126" s="30">
        <f>IF(P$12=0,0,P126/P$12)</f>
        <v>-0.57864151355021987</v>
      </c>
      <c r="S126" s="14"/>
      <c r="T126" s="34">
        <f>+T122-T124</f>
        <v>-67750.907276000013</v>
      </c>
      <c r="U126" s="14"/>
      <c r="V126" s="30">
        <f>IF(T$12=0,0,T126/T$12)</f>
        <v>-0.16033820204946164</v>
      </c>
      <c r="W126" s="16"/>
      <c r="X126" s="34">
        <f>P126-T126</f>
        <v>-52771.972723999992</v>
      </c>
      <c r="Y126" s="16"/>
      <c r="Z126" s="30">
        <f>IF(T126=0,0,X126/T126)</f>
        <v>0.77891167581004284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294</v>
      </c>
      <c r="C129" s="29"/>
      <c r="D129" s="31">
        <f>SUM(D126:D128)</f>
        <v>-14161.070000000011</v>
      </c>
      <c r="E129" s="14"/>
      <c r="F129" s="35">
        <f>IF(D$12=0,0,D129/D$12)</f>
        <v>-0.58887909346085932</v>
      </c>
      <c r="G129" s="14"/>
      <c r="H129" s="31">
        <f>SUM(H126:H128)</f>
        <v>-10270.178761846153</v>
      </c>
      <c r="I129" s="14"/>
      <c r="J129" s="35">
        <f>IF(H$12=0,0,H129/H$12)</f>
        <v>-0.25812900600312044</v>
      </c>
      <c r="K129" s="16"/>
      <c r="L129" s="31">
        <f>+D129-H129</f>
        <v>-3890.8912381538576</v>
      </c>
      <c r="M129" s="16"/>
      <c r="N129" s="35">
        <f>IF(H129=0,0,L129/H129)</f>
        <v>0.37885331194122629</v>
      </c>
      <c r="O129" s="28"/>
      <c r="P129" s="31">
        <f>SUM(P126:P128)</f>
        <v>-120522.88</v>
      </c>
      <c r="Q129" s="14"/>
      <c r="R129" s="35">
        <f>IF(P$12=0,0,P129/P$12)</f>
        <v>-0.57864151355021987</v>
      </c>
      <c r="S129" s="14"/>
      <c r="T129" s="31">
        <f>SUM(T126:T128)</f>
        <v>-67750.907276000013</v>
      </c>
      <c r="U129" s="14"/>
      <c r="V129" s="35">
        <f>IF(T$12=0,0,T129/T$12)</f>
        <v>-0.16033820204946164</v>
      </c>
      <c r="W129" s="16"/>
      <c r="X129" s="31">
        <f>+P129-T129</f>
        <v>-52771.972723999992</v>
      </c>
      <c r="Y129" s="16"/>
      <c r="Z129" s="35">
        <f>IF(T129=0,0,X129/T129)</f>
        <v>0.77891167581004284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6" x14ac:dyDescent="0.25">
      <c r="A131" s="9"/>
      <c r="B131" s="56">
        <v>44295.961797766206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3" t="s">
        <v>56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4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2147</v>
      </c>
      <c r="E12" s="4"/>
      <c r="F12" s="12"/>
      <c r="G12" s="4"/>
      <c r="H12" s="4">
        <f>SUM(OSRRefH13x_0)</f>
        <v>26000</v>
      </c>
      <c r="I12" s="4"/>
      <c r="J12" s="12"/>
      <c r="K12" s="4"/>
      <c r="L12" s="4">
        <f t="shared" ref="L12:L24" si="0">+D12-H12</f>
        <v>-23853</v>
      </c>
      <c r="M12" s="4"/>
      <c r="N12" s="12">
        <f t="shared" ref="N12:N24" si="1">IF(H12=0,0,L12/H12)</f>
        <v>-0.9174230769230769</v>
      </c>
      <c r="O12" s="10"/>
      <c r="P12" s="4">
        <f>SUM(OSRRefP13x_0)</f>
        <v>110995.03</v>
      </c>
      <c r="Q12" s="4"/>
      <c r="R12" s="12"/>
      <c r="S12" s="4"/>
      <c r="T12" s="4">
        <f>SUM(OSRRefT13x_0)</f>
        <v>302213</v>
      </c>
      <c r="U12" s="4"/>
      <c r="V12" s="12"/>
      <c r="W12" s="4"/>
      <c r="X12" s="4">
        <f t="shared" ref="X12:X24" si="2">+P12-T12</f>
        <v>-191217.97</v>
      </c>
      <c r="Y12" s="4"/>
      <c r="Z12" s="12">
        <f t="shared" ref="Z12:Z24" si="3">IF(T12=0,0,X12/T12)</f>
        <v>-0.63272582582483217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12000</v>
      </c>
      <c r="I13" s="2"/>
      <c r="J13" s="19"/>
      <c r="K13" s="2"/>
      <c r="L13" s="2">
        <f t="shared" si="0"/>
        <v>-12000</v>
      </c>
      <c r="M13" s="2"/>
      <c r="N13" s="19">
        <f t="shared" si="1"/>
        <v>-1</v>
      </c>
      <c r="O13" s="11"/>
      <c r="P13" s="2">
        <f>-9.28</f>
        <v>-9.2799999999999994</v>
      </c>
      <c r="Q13" s="2"/>
      <c r="R13" s="19"/>
      <c r="S13" s="2"/>
      <c r="T13" s="2">
        <v>223713</v>
      </c>
      <c r="U13" s="2"/>
      <c r="V13" s="19"/>
      <c r="W13" s="2"/>
      <c r="X13" s="2">
        <f t="shared" si="2"/>
        <v>-223722.28</v>
      </c>
      <c r="Y13" s="2"/>
      <c r="Z13" s="19">
        <f t="shared" si="3"/>
        <v>-1.0000414817198822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--591.75</f>
        <v>591.75</v>
      </c>
      <c r="E14" s="2"/>
      <c r="F14" s="19"/>
      <c r="G14" s="2"/>
      <c r="H14" s="2"/>
      <c r="I14" s="2"/>
      <c r="J14" s="19"/>
      <c r="K14" s="2"/>
      <c r="L14" s="2">
        <f t="shared" si="0"/>
        <v>591.75</v>
      </c>
      <c r="M14" s="2"/>
      <c r="N14" s="19">
        <f t="shared" si="1"/>
        <v>0</v>
      </c>
      <c r="O14" s="11"/>
      <c r="P14" s="2">
        <f>--92657.97</f>
        <v>92657.97</v>
      </c>
      <c r="Q14" s="2"/>
      <c r="R14" s="19"/>
      <c r="S14" s="2"/>
      <c r="T14" s="2"/>
      <c r="U14" s="2"/>
      <c r="V14" s="19"/>
      <c r="W14" s="2"/>
      <c r="X14" s="2">
        <f t="shared" si="2"/>
        <v>92657.97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--671.32</f>
        <v>671.32</v>
      </c>
      <c r="E15" s="2"/>
      <c r="F15" s="19"/>
      <c r="G15" s="2"/>
      <c r="H15" s="2"/>
      <c r="I15" s="2"/>
      <c r="J15" s="19"/>
      <c r="K15" s="2"/>
      <c r="L15" s="2">
        <f t="shared" si="0"/>
        <v>671.32</v>
      </c>
      <c r="M15" s="2"/>
      <c r="N15" s="19">
        <f t="shared" si="1"/>
        <v>0</v>
      </c>
      <c r="O15" s="11"/>
      <c r="P15" s="2">
        <f>--15819.95</f>
        <v>15819.95</v>
      </c>
      <c r="Q15" s="2"/>
      <c r="R15" s="19"/>
      <c r="S15" s="2"/>
      <c r="T15" s="2"/>
      <c r="U15" s="2"/>
      <c r="V15" s="19"/>
      <c r="W15" s="2"/>
      <c r="X15" s="2">
        <f t="shared" si="2"/>
        <v>15819.95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--14.9</f>
        <v>14.9</v>
      </c>
      <c r="E16" s="2"/>
      <c r="F16" s="19"/>
      <c r="G16" s="2"/>
      <c r="H16" s="2"/>
      <c r="I16" s="2"/>
      <c r="J16" s="19"/>
      <c r="K16" s="2"/>
      <c r="L16" s="2">
        <f t="shared" si="0"/>
        <v>14.9</v>
      </c>
      <c r="M16" s="2"/>
      <c r="N16" s="19">
        <f t="shared" si="1"/>
        <v>0</v>
      </c>
      <c r="O16" s="11"/>
      <c r="P16" s="2">
        <f>--52.68</f>
        <v>52.68</v>
      </c>
      <c r="Q16" s="2"/>
      <c r="R16" s="19"/>
      <c r="S16" s="2"/>
      <c r="T16" s="2"/>
      <c r="U16" s="2"/>
      <c r="V16" s="19"/>
      <c r="W16" s="2"/>
      <c r="X16" s="2">
        <f t="shared" si="2"/>
        <v>52.68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--775.28</f>
        <v>775.28</v>
      </c>
      <c r="E17" s="2"/>
      <c r="F17" s="19"/>
      <c r="G17" s="2"/>
      <c r="H17" s="2"/>
      <c r="I17" s="2"/>
      <c r="J17" s="19"/>
      <c r="K17" s="2"/>
      <c r="L17" s="2">
        <f t="shared" si="0"/>
        <v>775.28</v>
      </c>
      <c r="M17" s="2"/>
      <c r="N17" s="19">
        <f t="shared" si="1"/>
        <v>0</v>
      </c>
      <c r="O17" s="11"/>
      <c r="P17" s="2">
        <f>--915.13</f>
        <v>915.13</v>
      </c>
      <c r="Q17" s="2"/>
      <c r="R17" s="19"/>
      <c r="S17" s="2"/>
      <c r="T17" s="2"/>
      <c r="U17" s="2"/>
      <c r="V17" s="19"/>
      <c r="W17" s="2"/>
      <c r="X17" s="2">
        <f t="shared" si="2"/>
        <v>915.13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20" si="4">0</f>
        <v>0</v>
      </c>
      <c r="E18" s="2"/>
      <c r="F18" s="19"/>
      <c r="G18" s="2"/>
      <c r="H18" s="2">
        <v>14000</v>
      </c>
      <c r="I18" s="2"/>
      <c r="J18" s="19"/>
      <c r="K18" s="2"/>
      <c r="L18" s="2">
        <f t="shared" si="0"/>
        <v>-14000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78500</v>
      </c>
      <c r="U18" s="2"/>
      <c r="V18" s="19"/>
      <c r="W18" s="2"/>
      <c r="X18" s="2">
        <f t="shared" si="2"/>
        <v>-78500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--1278.64</f>
        <v>1278.6400000000001</v>
      </c>
      <c r="Q19" s="2"/>
      <c r="R19" s="19"/>
      <c r="S19" s="2"/>
      <c r="T19" s="2"/>
      <c r="U19" s="2"/>
      <c r="V19" s="19"/>
      <c r="W19" s="2"/>
      <c r="X19" s="2">
        <f t="shared" si="2"/>
        <v>1278.6400000000001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--1110.59</f>
        <v>1110.5899999999999</v>
      </c>
      <c r="Q20" s="2"/>
      <c r="R20" s="19"/>
      <c r="S20" s="2"/>
      <c r="T20" s="2"/>
      <c r="U20" s="2"/>
      <c r="V20" s="19"/>
      <c r="W20" s="2"/>
      <c r="X20" s="2">
        <f t="shared" si="2"/>
        <v>1110.5899999999999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--90.7</f>
        <v>90.7</v>
      </c>
      <c r="E21" s="2"/>
      <c r="F21" s="19"/>
      <c r="G21" s="2"/>
      <c r="H21" s="2"/>
      <c r="I21" s="2"/>
      <c r="J21" s="19"/>
      <c r="K21" s="2"/>
      <c r="L21" s="2">
        <f t="shared" si="0"/>
        <v>90.7</v>
      </c>
      <c r="M21" s="2"/>
      <c r="N21" s="19">
        <f t="shared" si="1"/>
        <v>0</v>
      </c>
      <c r="O21" s="11"/>
      <c r="P21" s="2">
        <f>--299.1</f>
        <v>299.10000000000002</v>
      </c>
      <c r="Q21" s="2"/>
      <c r="R21" s="19"/>
      <c r="S21" s="2"/>
      <c r="T21" s="2"/>
      <c r="U21" s="2"/>
      <c r="V21" s="19"/>
      <c r="W21" s="2"/>
      <c r="X21" s="2">
        <f t="shared" si="2"/>
        <v>299.10000000000002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</f>
        <v>11</v>
      </c>
      <c r="E22" s="2"/>
      <c r="F22" s="19"/>
      <c r="G22" s="2"/>
      <c r="H22" s="2"/>
      <c r="I22" s="2"/>
      <c r="J22" s="19"/>
      <c r="K22" s="2"/>
      <c r="L22" s="2">
        <f t="shared" si="0"/>
        <v>11</v>
      </c>
      <c r="M22" s="2"/>
      <c r="N22" s="19">
        <f t="shared" si="1"/>
        <v>0</v>
      </c>
      <c r="O22" s="11"/>
      <c r="P22" s="2">
        <f>--143.5</f>
        <v>143.5</v>
      </c>
      <c r="Q22" s="2"/>
      <c r="R22" s="19"/>
      <c r="S22" s="2"/>
      <c r="T22" s="2"/>
      <c r="U22" s="2"/>
      <c r="V22" s="19"/>
      <c r="W22" s="2"/>
      <c r="X22" s="2">
        <f t="shared" si="2"/>
        <v>143.5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-7.95</f>
        <v>-7.95</v>
      </c>
      <c r="E23" s="2"/>
      <c r="F23" s="19"/>
      <c r="G23" s="2"/>
      <c r="H23" s="2"/>
      <c r="I23" s="2"/>
      <c r="J23" s="19"/>
      <c r="K23" s="2"/>
      <c r="L23" s="2">
        <f t="shared" si="0"/>
        <v>-7.95</v>
      </c>
      <c r="M23" s="2"/>
      <c r="N23" s="19">
        <f t="shared" si="1"/>
        <v>0</v>
      </c>
      <c r="O23" s="11"/>
      <c r="P23" s="2">
        <f>-1262.05</f>
        <v>-1262.05</v>
      </c>
      <c r="Q23" s="2"/>
      <c r="R23" s="19"/>
      <c r="S23" s="2"/>
      <c r="T23" s="2"/>
      <c r="U23" s="2"/>
      <c r="V23" s="19"/>
      <c r="W23" s="2"/>
      <c r="X23" s="2">
        <f t="shared" si="2"/>
        <v>-1262.05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-11.2</f>
        <v>-11.2</v>
      </c>
      <c r="Q24" s="2"/>
      <c r="R24" s="19"/>
      <c r="S24" s="2"/>
      <c r="T24" s="2"/>
      <c r="U24" s="2"/>
      <c r="V24" s="19"/>
      <c r="W24" s="2"/>
      <c r="X24" s="2">
        <f t="shared" si="2"/>
        <v>-11.2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257</v>
      </c>
      <c r="C26" s="10"/>
      <c r="D26" s="4">
        <f>SUM(OSRRefD16x_0)</f>
        <v>0</v>
      </c>
      <c r="E26" s="4"/>
      <c r="F26" s="12">
        <f t="shared" ref="F26:F28" si="5">IF(D$12=0,0,D26/D$12)</f>
        <v>0</v>
      </c>
      <c r="G26" s="4"/>
      <c r="H26" s="4">
        <f>SUM(OSRRefH16x_0)</f>
        <v>0</v>
      </c>
      <c r="I26" s="4"/>
      <c r="J26" s="12">
        <f t="shared" ref="J26:J28" si="6">IF(H$12=0,0,H26/H$12)</f>
        <v>0</v>
      </c>
      <c r="K26" s="4"/>
      <c r="L26" s="4">
        <f t="shared" ref="L26:L28" si="7">+D26-H26</f>
        <v>0</v>
      </c>
      <c r="M26" s="4"/>
      <c r="N26" s="12">
        <f t="shared" ref="N26:N28" si="8">IF(H26=0,0,L26/H26)</f>
        <v>0</v>
      </c>
      <c r="O26" s="10"/>
      <c r="P26" s="4">
        <f>SUM(OSRRefP16x_0)</f>
        <v>0</v>
      </c>
      <c r="Q26" s="4"/>
      <c r="R26" s="12">
        <f t="shared" ref="R26:R28" si="9">IF(P$12=0,0,P26/P$12)</f>
        <v>0</v>
      </c>
      <c r="S26" s="4"/>
      <c r="T26" s="4">
        <f>SUM(OSRRefT16x_0)</f>
        <v>0</v>
      </c>
      <c r="U26" s="4"/>
      <c r="V26" s="12">
        <f t="shared" ref="V26:V28" si="10">IF(T$12=0,0,T26/T$12)</f>
        <v>0</v>
      </c>
      <c r="W26" s="4"/>
      <c r="X26" s="4">
        <f t="shared" ref="X26:X28" si="11">+P26-T26</f>
        <v>0</v>
      </c>
      <c r="Y26" s="4"/>
      <c r="Z26" s="12">
        <f t="shared" ref="Z26:Z28" si="12">IF(T26=0,0,X26/T26)</f>
        <v>0</v>
      </c>
    </row>
    <row r="27" spans="1:26" s="24" customFormat="1" hidden="1" outlineLevel="1" x14ac:dyDescent="0.25">
      <c r="A27" s="44"/>
      <c r="B27" s="11" t="str">
        <f>CONCATENATE("          ", "5092", " - ", "PURCHASES @ COST-GRAD MERCH")</f>
        <v xml:space="preserve">          5092 - PURCHASES @ COST-GRAD MERCH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0</v>
      </c>
      <c r="Q27" s="2"/>
      <c r="R27" s="19">
        <f t="shared" si="9"/>
        <v>0</v>
      </c>
      <c r="S27" s="2"/>
      <c r="T27" s="2"/>
      <c r="U27" s="2"/>
      <c r="V27" s="19">
        <f t="shared" si="10"/>
        <v>0</v>
      </c>
      <c r="W27" s="2"/>
      <c r="X27" s="2">
        <f t="shared" si="11"/>
        <v>0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0</v>
      </c>
      <c r="Q28" s="2"/>
      <c r="R28" s="19">
        <f t="shared" si="9"/>
        <v>0</v>
      </c>
      <c r="S28" s="2"/>
      <c r="T28" s="2"/>
      <c r="U28" s="2"/>
      <c r="V28" s="19">
        <f t="shared" si="10"/>
        <v>0</v>
      </c>
      <c r="W28" s="2"/>
      <c r="X28" s="2">
        <f t="shared" si="11"/>
        <v>0</v>
      </c>
      <c r="Y28" s="2"/>
      <c r="Z28" s="19">
        <f t="shared" si="12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108</v>
      </c>
      <c r="C30" s="29"/>
      <c r="D30" s="20">
        <f>D12-D26</f>
        <v>2147</v>
      </c>
      <c r="E30" s="14"/>
      <c r="F30" s="21">
        <f>IF(D$12=0,0,D30/D$12)</f>
        <v>1</v>
      </c>
      <c r="G30" s="14"/>
      <c r="H30" s="20">
        <f>H12-H26</f>
        <v>26000</v>
      </c>
      <c r="I30" s="14"/>
      <c r="J30" s="21">
        <f>IF(H$12=0,0,H30/H$12)</f>
        <v>1</v>
      </c>
      <c r="K30" s="16"/>
      <c r="L30" s="20">
        <f>+D30-H30</f>
        <v>-23853</v>
      </c>
      <c r="M30" s="16"/>
      <c r="N30" s="21">
        <f>IF(H30=0,0,L30/H30)</f>
        <v>-0.9174230769230769</v>
      </c>
      <c r="O30" s="28"/>
      <c r="P30" s="20">
        <f>P12-P26</f>
        <v>110995.03</v>
      </c>
      <c r="Q30" s="14"/>
      <c r="R30" s="21">
        <f>IF(P$12=0,0,P30/P$12)</f>
        <v>1</v>
      </c>
      <c r="S30" s="14"/>
      <c r="T30" s="20">
        <f>T12-T26</f>
        <v>302213</v>
      </c>
      <c r="U30" s="14"/>
      <c r="V30" s="21">
        <f>IF(T$12=0,0,T30/T$12)</f>
        <v>1</v>
      </c>
      <c r="W30" s="16"/>
      <c r="X30" s="20">
        <f>+P30-T30</f>
        <v>-191217.97</v>
      </c>
      <c r="Y30" s="16"/>
      <c r="Z30" s="21">
        <f>IF(T30=0,0,X30/T30)</f>
        <v>-0.63272582582483217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295</v>
      </c>
      <c r="C32" s="10"/>
      <c r="D32" s="22">
        <f>SUM(OSRRefD22x_0)</f>
        <v>19440.499999999989</v>
      </c>
      <c r="E32" s="22"/>
      <c r="F32" s="32">
        <f t="shared" ref="F32:F42" si="13">IF(D$12=0,0,D32/D$12)</f>
        <v>9.0547275267815515</v>
      </c>
      <c r="G32" s="22"/>
      <c r="H32" s="22">
        <f>SUM(OSRRefH22x_0)</f>
        <v>20283.671125492343</v>
      </c>
      <c r="I32" s="22"/>
      <c r="J32" s="32">
        <f t="shared" ref="J32:J42" si="14">IF(H$12=0,0,H32/H$12)</f>
        <v>0.78014119713432084</v>
      </c>
      <c r="K32" s="4"/>
      <c r="L32" s="22">
        <f t="shared" ref="L32:L42" si="15">+D32-H32</f>
        <v>-843.17112549235389</v>
      </c>
      <c r="M32" s="4"/>
      <c r="N32" s="32">
        <f t="shared" ref="N32:N42" si="16">IF(H32=0,0,L32/H32)</f>
        <v>-4.1568960582912609E-2</v>
      </c>
      <c r="O32" s="10"/>
      <c r="P32" s="22">
        <f>SUM(OSRRefP22x_0)</f>
        <v>257264.91</v>
      </c>
      <c r="Q32" s="22"/>
      <c r="R32" s="32">
        <f t="shared" ref="R32:R42" si="17">IF(P$12=0,0,P32/P$12)</f>
        <v>2.317805671118788</v>
      </c>
      <c r="S32" s="22"/>
      <c r="T32" s="22">
        <f>SUM(OSRRefT22x_0)</f>
        <v>278556.64155017526</v>
      </c>
      <c r="U32" s="22"/>
      <c r="V32" s="32">
        <f t="shared" ref="V32:V42" si="18">IF(T$12=0,0,T32/T$12)</f>
        <v>0.92172289593821333</v>
      </c>
      <c r="W32" s="4"/>
      <c r="X32" s="22">
        <f t="shared" ref="X32:X42" si="19">+P32-T32</f>
        <v>-21291.73155017526</v>
      </c>
      <c r="Y32" s="4"/>
      <c r="Z32" s="32">
        <f t="shared" ref="Z32:Z42" si="20">IF(T32=0,0,X32/T32)</f>
        <v>-7.6435914188533419E-2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8898.1500000000015</v>
      </c>
      <c r="E33" s="1"/>
      <c r="F33" s="5">
        <f t="shared" si="13"/>
        <v>4.1444573823940392</v>
      </c>
      <c r="G33" s="1"/>
      <c r="H33" s="1">
        <f>SUM(OSRRefH22_0x_0)</f>
        <v>6345.1625639538433</v>
      </c>
      <c r="I33" s="1"/>
      <c r="J33" s="5">
        <f t="shared" si="14"/>
        <v>0.24404471399822475</v>
      </c>
      <c r="K33" s="1"/>
      <c r="L33" s="1">
        <f t="shared" si="15"/>
        <v>2552.9874360461581</v>
      </c>
      <c r="M33" s="1"/>
      <c r="N33" s="5">
        <f t="shared" si="16"/>
        <v>0.40235177748626855</v>
      </c>
      <c r="O33" s="13"/>
      <c r="P33" s="1">
        <f>SUM(OSRRefP22_0x_0)</f>
        <v>84386.12000000001</v>
      </c>
      <c r="Q33" s="1"/>
      <c r="R33" s="5">
        <f t="shared" si="17"/>
        <v>0.76026935620450764</v>
      </c>
      <c r="S33" s="1"/>
      <c r="T33" s="1">
        <f>SUM(OSRRefT22_0x_0)</f>
        <v>60351.933075175002</v>
      </c>
      <c r="U33" s="1"/>
      <c r="V33" s="5">
        <f t="shared" si="18"/>
        <v>0.19969998999108246</v>
      </c>
      <c r="W33" s="1"/>
      <c r="X33" s="1">
        <f t="shared" si="19"/>
        <v>24034.186924825008</v>
      </c>
      <c r="Y33" s="1"/>
      <c r="Z33" s="5">
        <f t="shared" si="20"/>
        <v>0.39823392060843804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7">
        <v>1213.6400000000001</v>
      </c>
      <c r="E34" s="2"/>
      <c r="F34" s="6">
        <f t="shared" si="13"/>
        <v>0.56527247321844443</v>
      </c>
      <c r="G34" s="2"/>
      <c r="H34" s="7">
        <v>1005.53020137692</v>
      </c>
      <c r="I34" s="2"/>
      <c r="J34" s="6">
        <f t="shared" si="14"/>
        <v>3.8674238514496924E-2</v>
      </c>
      <c r="K34" s="2"/>
      <c r="L34" s="7">
        <f t="shared" si="15"/>
        <v>208.10979862308011</v>
      </c>
      <c r="M34" s="2"/>
      <c r="N34" s="6">
        <f t="shared" si="16"/>
        <v>0.20696523917243415</v>
      </c>
      <c r="O34" s="11"/>
      <c r="P34" s="7">
        <v>11467.69</v>
      </c>
      <c r="Q34" s="2"/>
      <c r="R34" s="6">
        <f t="shared" si="17"/>
        <v>0.10331714852457809</v>
      </c>
      <c r="S34" s="2"/>
      <c r="T34" s="7">
        <v>10185.593705925001</v>
      </c>
      <c r="U34" s="2"/>
      <c r="V34" s="6">
        <f t="shared" si="18"/>
        <v>3.3703360563327851E-2</v>
      </c>
      <c r="W34" s="2"/>
      <c r="X34" s="7">
        <f t="shared" si="19"/>
        <v>1282.0962940749996</v>
      </c>
      <c r="Y34" s="2"/>
      <c r="Z34" s="6">
        <f t="shared" si="20"/>
        <v>0.12587349653748697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7">
        <v>311.66000000000003</v>
      </c>
      <c r="E35" s="2"/>
      <c r="F35" s="6">
        <f t="shared" si="13"/>
        <v>0.14516068933395437</v>
      </c>
      <c r="G35" s="2"/>
      <c r="H35" s="7">
        <v>267.183439423077</v>
      </c>
      <c r="I35" s="2"/>
      <c r="J35" s="6">
        <f t="shared" si="14"/>
        <v>1.0276286131656808E-2</v>
      </c>
      <c r="K35" s="2"/>
      <c r="L35" s="7">
        <f t="shared" si="15"/>
        <v>44.476560576923021</v>
      </c>
      <c r="M35" s="2"/>
      <c r="N35" s="6">
        <f t="shared" si="16"/>
        <v>0.16646451094783504</v>
      </c>
      <c r="O35" s="11"/>
      <c r="P35" s="7">
        <v>3030.26</v>
      </c>
      <c r="Q35" s="2"/>
      <c r="R35" s="6">
        <f t="shared" si="17"/>
        <v>2.7300862029588174E-2</v>
      </c>
      <c r="S35" s="2"/>
      <c r="T35" s="7">
        <v>2664.81080875</v>
      </c>
      <c r="U35" s="2"/>
      <c r="V35" s="6">
        <f t="shared" si="18"/>
        <v>8.8176577736563278E-3</v>
      </c>
      <c r="W35" s="2"/>
      <c r="X35" s="7">
        <f t="shared" si="19"/>
        <v>365.44919125000024</v>
      </c>
      <c r="Y35" s="2"/>
      <c r="Z35" s="6">
        <f t="shared" si="20"/>
        <v>0.13713888807792093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7">
        <v>3421.48</v>
      </c>
      <c r="E36" s="2"/>
      <c r="F36" s="6">
        <f t="shared" si="13"/>
        <v>1.5936096879366559</v>
      </c>
      <c r="G36" s="2"/>
      <c r="H36" s="7">
        <v>2645</v>
      </c>
      <c r="I36" s="2"/>
      <c r="J36" s="6">
        <f t="shared" si="14"/>
        <v>0.10173076923076924</v>
      </c>
      <c r="K36" s="2"/>
      <c r="L36" s="7">
        <f t="shared" si="15"/>
        <v>776.48</v>
      </c>
      <c r="M36" s="2"/>
      <c r="N36" s="6">
        <f t="shared" si="16"/>
        <v>0.29356521739130437</v>
      </c>
      <c r="O36" s="11"/>
      <c r="P36" s="7">
        <v>32635.77</v>
      </c>
      <c r="Q36" s="2"/>
      <c r="R36" s="6">
        <f t="shared" si="17"/>
        <v>0.2940291110331697</v>
      </c>
      <c r="S36" s="2"/>
      <c r="T36" s="7">
        <v>23805</v>
      </c>
      <c r="U36" s="2"/>
      <c r="V36" s="6">
        <f t="shared" si="18"/>
        <v>7.8768947728919667E-2</v>
      </c>
      <c r="W36" s="2"/>
      <c r="X36" s="7">
        <f t="shared" si="19"/>
        <v>8830.77</v>
      </c>
      <c r="Y36" s="2"/>
      <c r="Z36" s="6">
        <f t="shared" si="20"/>
        <v>0.37096282293635791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7">
        <v>43.8</v>
      </c>
      <c r="E37" s="2"/>
      <c r="F37" s="6">
        <f t="shared" si="13"/>
        <v>2.0400558919422447E-2</v>
      </c>
      <c r="G37" s="2"/>
      <c r="H37" s="7">
        <v>42.222617</v>
      </c>
      <c r="I37" s="2"/>
      <c r="J37" s="6">
        <f t="shared" si="14"/>
        <v>1.6239468076923076E-3</v>
      </c>
      <c r="K37" s="2"/>
      <c r="L37" s="7">
        <f t="shared" si="15"/>
        <v>1.5773829999999975</v>
      </c>
      <c r="M37" s="2"/>
      <c r="N37" s="6">
        <f t="shared" si="16"/>
        <v>3.7358721748583172E-2</v>
      </c>
      <c r="O37" s="11"/>
      <c r="P37" s="7">
        <v>425.86</v>
      </c>
      <c r="Q37" s="2"/>
      <c r="R37" s="6">
        <f t="shared" si="17"/>
        <v>3.8367483661205372E-3</v>
      </c>
      <c r="S37" s="2"/>
      <c r="T37" s="7">
        <v>410.45957550000003</v>
      </c>
      <c r="U37" s="2"/>
      <c r="V37" s="6">
        <f t="shared" si="18"/>
        <v>1.3581797457422416E-3</v>
      </c>
      <c r="W37" s="2"/>
      <c r="X37" s="7">
        <f t="shared" si="19"/>
        <v>15.400424499999986</v>
      </c>
      <c r="Y37" s="2"/>
      <c r="Z37" s="6">
        <f t="shared" si="20"/>
        <v>3.7519954264046605E-2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7">
        <v>1614.45</v>
      </c>
      <c r="E38" s="2"/>
      <c r="F38" s="6">
        <f t="shared" si="13"/>
        <v>0.75195621797857481</v>
      </c>
      <c r="G38" s="2"/>
      <c r="H38" s="7">
        <v>991.92684461538499</v>
      </c>
      <c r="I38" s="2"/>
      <c r="J38" s="6">
        <f t="shared" si="14"/>
        <v>3.8151032485207112E-2</v>
      </c>
      <c r="K38" s="2"/>
      <c r="L38" s="7">
        <f t="shared" si="15"/>
        <v>622.52315538461505</v>
      </c>
      <c r="M38" s="2"/>
      <c r="N38" s="6">
        <f t="shared" si="16"/>
        <v>0.62758978523864384</v>
      </c>
      <c r="O38" s="11"/>
      <c r="P38" s="7">
        <v>15714.79</v>
      </c>
      <c r="Q38" s="2"/>
      <c r="R38" s="6">
        <f t="shared" si="17"/>
        <v>0.14158102394314412</v>
      </c>
      <c r="S38" s="2"/>
      <c r="T38" s="7">
        <v>9671.2867349999997</v>
      </c>
      <c r="U38" s="2"/>
      <c r="V38" s="6">
        <f t="shared" si="18"/>
        <v>3.2001557626574632E-2</v>
      </c>
      <c r="W38" s="2"/>
      <c r="X38" s="7">
        <f t="shared" si="19"/>
        <v>6043.5032650000012</v>
      </c>
      <c r="Y38" s="2"/>
      <c r="Z38" s="6">
        <f t="shared" si="20"/>
        <v>0.62489133355221538</v>
      </c>
    </row>
    <row r="39" spans="1:26" s="24" customFormat="1" hidden="1" outlineLevel="2" x14ac:dyDescent="0.25">
      <c r="A39" s="26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3"/>
        <v>0</v>
      </c>
      <c r="G39" s="2"/>
      <c r="H39" s="7">
        <v>0</v>
      </c>
      <c r="I39" s="2"/>
      <c r="J39" s="6">
        <f t="shared" si="14"/>
        <v>0</v>
      </c>
      <c r="K39" s="2"/>
      <c r="L39" s="7">
        <f t="shared" si="15"/>
        <v>0</v>
      </c>
      <c r="M39" s="2"/>
      <c r="N39" s="6">
        <f t="shared" si="16"/>
        <v>0</v>
      </c>
      <c r="O39" s="11"/>
      <c r="P39" s="7"/>
      <c r="Q39" s="2"/>
      <c r="R39" s="6">
        <f t="shared" si="17"/>
        <v>0</v>
      </c>
      <c r="S39" s="2"/>
      <c r="T39" s="7">
        <v>0</v>
      </c>
      <c r="U39" s="2"/>
      <c r="V39" s="6">
        <f t="shared" si="18"/>
        <v>0</v>
      </c>
      <c r="W39" s="2"/>
      <c r="X39" s="7">
        <f t="shared" si="19"/>
        <v>0</v>
      </c>
      <c r="Y39" s="2"/>
      <c r="Z39" s="6">
        <f t="shared" si="20"/>
        <v>0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7">
        <v>1216.0999999999999</v>
      </c>
      <c r="E40" s="2"/>
      <c r="F40" s="6">
        <f t="shared" si="13"/>
        <v>0.56641825803446666</v>
      </c>
      <c r="G40" s="2"/>
      <c r="H40" s="7">
        <v>956.61308461538499</v>
      </c>
      <c r="I40" s="2"/>
      <c r="J40" s="6">
        <f t="shared" si="14"/>
        <v>3.679281094674558E-2</v>
      </c>
      <c r="K40" s="2"/>
      <c r="L40" s="7">
        <f t="shared" si="15"/>
        <v>259.48691538461492</v>
      </c>
      <c r="M40" s="2"/>
      <c r="N40" s="6">
        <f t="shared" si="16"/>
        <v>0.2712558709030663</v>
      </c>
      <c r="O40" s="11"/>
      <c r="P40" s="7">
        <v>11315.73</v>
      </c>
      <c r="Q40" s="2"/>
      <c r="R40" s="6">
        <f t="shared" si="17"/>
        <v>0.10194807821575434</v>
      </c>
      <c r="S40" s="2"/>
      <c r="T40" s="7">
        <v>9326.9775750000008</v>
      </c>
      <c r="U40" s="2"/>
      <c r="V40" s="6">
        <f t="shared" si="18"/>
        <v>3.0862264611383364E-2</v>
      </c>
      <c r="W40" s="2"/>
      <c r="X40" s="7">
        <f t="shared" si="19"/>
        <v>1988.7524249999988</v>
      </c>
      <c r="Y40" s="2"/>
      <c r="Z40" s="6">
        <f t="shared" si="20"/>
        <v>0.21322581822547146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7">
        <v>738.5</v>
      </c>
      <c r="E41" s="2"/>
      <c r="F41" s="6">
        <f t="shared" si="13"/>
        <v>0.34396832789939452</v>
      </c>
      <c r="G41" s="2"/>
      <c r="H41" s="7">
        <v>436.68637692307698</v>
      </c>
      <c r="I41" s="2"/>
      <c r="J41" s="6">
        <f t="shared" si="14"/>
        <v>1.6795629881656806E-2</v>
      </c>
      <c r="K41" s="2"/>
      <c r="L41" s="7">
        <f t="shared" si="15"/>
        <v>301.81362307692302</v>
      </c>
      <c r="M41" s="2"/>
      <c r="N41" s="6">
        <f t="shared" si="16"/>
        <v>0.69114503915492653</v>
      </c>
      <c r="O41" s="11"/>
      <c r="P41" s="7">
        <v>6909.77</v>
      </c>
      <c r="Q41" s="2"/>
      <c r="R41" s="6">
        <f t="shared" si="17"/>
        <v>6.2252967542780972E-2</v>
      </c>
      <c r="S41" s="2"/>
      <c r="T41" s="7">
        <v>4287.8046750000003</v>
      </c>
      <c r="U41" s="2"/>
      <c r="V41" s="6">
        <f t="shared" si="18"/>
        <v>1.4188021941478363E-2</v>
      </c>
      <c r="W41" s="2"/>
      <c r="X41" s="7">
        <f t="shared" si="19"/>
        <v>2621.9653250000001</v>
      </c>
      <c r="Y41" s="2"/>
      <c r="Z41" s="6">
        <f t="shared" si="20"/>
        <v>0.6114936485533824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7">
        <v>338.52</v>
      </c>
      <c r="E42" s="2"/>
      <c r="F42" s="6">
        <f t="shared" si="13"/>
        <v>0.15767116907312528</v>
      </c>
      <c r="G42" s="2"/>
      <c r="H42" s="7"/>
      <c r="I42" s="2"/>
      <c r="J42" s="6">
        <f t="shared" si="14"/>
        <v>0</v>
      </c>
      <c r="K42" s="2"/>
      <c r="L42" s="7">
        <f t="shared" si="15"/>
        <v>338.52</v>
      </c>
      <c r="M42" s="2"/>
      <c r="N42" s="6">
        <f t="shared" si="16"/>
        <v>0</v>
      </c>
      <c r="O42" s="11"/>
      <c r="P42" s="7">
        <v>2886.25</v>
      </c>
      <c r="Q42" s="2"/>
      <c r="R42" s="6">
        <f t="shared" si="17"/>
        <v>2.6003416549371626E-2</v>
      </c>
      <c r="S42" s="2"/>
      <c r="T42" s="7"/>
      <c r="U42" s="2"/>
      <c r="V42" s="6">
        <f t="shared" si="18"/>
        <v>0</v>
      </c>
      <c r="W42" s="2"/>
      <c r="X42" s="7">
        <f t="shared" si="19"/>
        <v>2886.25</v>
      </c>
      <c r="Y42" s="2"/>
      <c r="Z42" s="6">
        <f t="shared" si="20"/>
        <v>0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14970.33</v>
      </c>
      <c r="E43" s="1"/>
      <c r="F43" s="5">
        <f t="shared" ref="F43:F53" si="21">IF(D$12=0,0,D43/D$12)</f>
        <v>6.9726734979040526</v>
      </c>
      <c r="G43" s="1"/>
      <c r="H43" s="1">
        <f>SUM(OSRRefH22_1x_0)</f>
        <v>10197.5085615385</v>
      </c>
      <c r="I43" s="1"/>
      <c r="J43" s="5">
        <f t="shared" ref="J43:J53" si="22">IF(H$12=0,0,H43/H$12)</f>
        <v>0.39221186775148076</v>
      </c>
      <c r="K43" s="1"/>
      <c r="L43" s="1">
        <f t="shared" ref="L43:L53" si="23">+D43-H43</f>
        <v>4772.8214384615003</v>
      </c>
      <c r="M43" s="1"/>
      <c r="N43" s="5">
        <f t="shared" ref="N43:N53" si="24">IF(H43=0,0,L43/H43)</f>
        <v>0.46803799277628888</v>
      </c>
      <c r="O43" s="13"/>
      <c r="P43" s="1">
        <f>SUM(OSRRefP22_1x_0)</f>
        <v>138818.57</v>
      </c>
      <c r="Q43" s="1"/>
      <c r="R43" s="5">
        <f t="shared" ref="R43:R53" si="25">IF(P$12=0,0,P43/P$12)</f>
        <v>1.2506737463830588</v>
      </c>
      <c r="S43" s="1"/>
      <c r="T43" s="1">
        <f>SUM(OSRRefT22_1x_0)</f>
        <v>99425.708475000298</v>
      </c>
      <c r="U43" s="1"/>
      <c r="V43" s="5">
        <f t="shared" ref="V43:V53" si="26">IF(T$12=0,0,T43/T$12)</f>
        <v>0.32899216272959897</v>
      </c>
      <c r="W43" s="1"/>
      <c r="X43" s="1">
        <f t="shared" ref="X43:X53" si="27">+P43-T43</f>
        <v>39392.861524999709</v>
      </c>
      <c r="Y43" s="1"/>
      <c r="Z43" s="5">
        <f t="shared" ref="Z43:Z53" si="28">IF(T43=0,0,X43/T43)</f>
        <v>0.39620398113536892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7">
        <v>14462.41</v>
      </c>
      <c r="E45" s="2"/>
      <c r="F45" s="6">
        <f t="shared" si="21"/>
        <v>6.7361015370284116</v>
      </c>
      <c r="G45" s="2"/>
      <c r="H45" s="7">
        <v>10197.5085615385</v>
      </c>
      <c r="I45" s="2"/>
      <c r="J45" s="6">
        <f t="shared" si="22"/>
        <v>0.39221186775148076</v>
      </c>
      <c r="K45" s="2"/>
      <c r="L45" s="7">
        <f t="shared" si="23"/>
        <v>4264.9014384615002</v>
      </c>
      <c r="M45" s="2"/>
      <c r="N45" s="6">
        <f t="shared" si="24"/>
        <v>0.41822974824921882</v>
      </c>
      <c r="O45" s="11"/>
      <c r="P45" s="7">
        <v>132471.79</v>
      </c>
      <c r="Q45" s="2"/>
      <c r="R45" s="6">
        <f t="shared" si="25"/>
        <v>1.1934929879292795</v>
      </c>
      <c r="S45" s="2"/>
      <c r="T45" s="7">
        <v>99425.708475000298</v>
      </c>
      <c r="U45" s="2"/>
      <c r="V45" s="6">
        <f t="shared" si="26"/>
        <v>0.32899216272959897</v>
      </c>
      <c r="W45" s="2"/>
      <c r="X45" s="7">
        <f t="shared" si="27"/>
        <v>33046.08152499971</v>
      </c>
      <c r="Y45" s="2"/>
      <c r="Z45" s="6">
        <f t="shared" si="28"/>
        <v>0.33236958561184254</v>
      </c>
    </row>
    <row r="46" spans="1:26" s="24" customFormat="1" hidden="1" outlineLevel="2" x14ac:dyDescent="0.25">
      <c r="A46" s="26"/>
      <c r="B46" s="11" t="str">
        <f>CONCATENATE("          ", "6003", " - ", "STAFF HOURLY-9 MONTH")</f>
        <v xml:space="preserve">          6003 - STAFF HOURLY-9 MONTH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6"/>
      <c r="B48" s="11" t="str">
        <f>CONCATENATE("          ", "6005", " - ", "TEMPORARY WAGES-HOURLY")</f>
        <v xml:space="preserve">          6005 - TEMPORARY WAGES-HOURLY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>
        <v>383.25</v>
      </c>
      <c r="Q48" s="2"/>
      <c r="R48" s="6">
        <f t="shared" si="25"/>
        <v>3.4528573036108011E-3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383.25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"6006", " - ", "TEMPORARY PART TIME")</f>
        <v xml:space="preserve">          6006 - TEMPORARY PART TIME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6"/>
      <c r="B50" s="11" t="str">
        <f>CONCATENATE("          ", "6007", " - ", "STUDENT HOURLY")</f>
        <v xml:space="preserve">          6007 - STUDENT HOURLY</v>
      </c>
      <c r="C50" s="11"/>
      <c r="D50" s="7">
        <v>507.92</v>
      </c>
      <c r="E50" s="2"/>
      <c r="F50" s="6">
        <f t="shared" si="21"/>
        <v>0.23657196087564045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507.92</v>
      </c>
      <c r="M50" s="2"/>
      <c r="N50" s="6">
        <f t="shared" si="24"/>
        <v>0</v>
      </c>
      <c r="O50" s="11"/>
      <c r="P50" s="7">
        <v>5963.53</v>
      </c>
      <c r="Q50" s="2"/>
      <c r="R50" s="6">
        <f t="shared" si="25"/>
        <v>5.3727901150168615E-2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5963.53</v>
      </c>
      <c r="Y50" s="2"/>
      <c r="Z50" s="6">
        <f t="shared" si="28"/>
        <v>0</v>
      </c>
    </row>
    <row r="51" spans="1:26" s="24" customFormat="1" hidden="1" outlineLevel="2" x14ac:dyDescent="0.25">
      <c r="A51" s="26"/>
      <c r="B51" s="11" t="str">
        <f>CONCATENATE("          ", "6008", " - ", "STUDENT HOURLY-FICA EXEMPT")</f>
        <v xml:space="preserve">          6008 - STUDENT HOURLY-FICA EXEMPT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4" customFormat="1" hidden="1" outlineLevel="2" x14ac:dyDescent="0.25">
      <c r="A52" s="26"/>
      <c r="B52" s="11" t="str">
        <f>CONCATENATE("          ", "6009", " - ", "TEMPORARY-SEASONAL")</f>
        <v xml:space="preserve">          6009 - TEMPORARY-SEASONAL</v>
      </c>
      <c r="C52" s="11"/>
      <c r="D52" s="7"/>
      <c r="E52" s="2"/>
      <c r="F52" s="6">
        <f t="shared" si="21"/>
        <v>0</v>
      </c>
      <c r="G52" s="2"/>
      <c r="H52" s="7">
        <v>0</v>
      </c>
      <c r="I52" s="2"/>
      <c r="J52" s="6">
        <f t="shared" si="22"/>
        <v>0</v>
      </c>
      <c r="K52" s="2"/>
      <c r="L52" s="7">
        <f t="shared" si="23"/>
        <v>0</v>
      </c>
      <c r="M52" s="2"/>
      <c r="N52" s="6">
        <f t="shared" si="24"/>
        <v>0</v>
      </c>
      <c r="O52" s="11"/>
      <c r="P52" s="7"/>
      <c r="Q52" s="2"/>
      <c r="R52" s="6">
        <f t="shared" si="25"/>
        <v>0</v>
      </c>
      <c r="S52" s="2"/>
      <c r="T52" s="7">
        <v>0</v>
      </c>
      <c r="U52" s="2"/>
      <c r="V52" s="6">
        <f t="shared" si="26"/>
        <v>0</v>
      </c>
      <c r="W52" s="2"/>
      <c r="X52" s="7">
        <f t="shared" si="27"/>
        <v>0</v>
      </c>
      <c r="Y52" s="2"/>
      <c r="Z52" s="6">
        <f t="shared" si="28"/>
        <v>0</v>
      </c>
    </row>
    <row r="53" spans="1:26" s="24" customFormat="1" hidden="1" outlineLevel="2" x14ac:dyDescent="0.25">
      <c r="A53" s="26"/>
      <c r="B53" s="11" t="str">
        <f>CONCATENATE("          ", "6010", " - ", "GRATUITY")</f>
        <v xml:space="preserve">          6010 - GRATUITY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5" customFormat="1" outlineLevel="1" collapsed="1" x14ac:dyDescent="0.25">
      <c r="A54" s="27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4" si="29">IF(D$12=0,0,D54/D$12)</f>
        <v>0</v>
      </c>
      <c r="G54" s="1"/>
      <c r="H54" s="1">
        <f>SUM(OSRRefH22_2x_0)</f>
        <v>50</v>
      </c>
      <c r="I54" s="1"/>
      <c r="J54" s="5">
        <f t="shared" ref="J54:J64" si="30">IF(H$12=0,0,H54/H$12)</f>
        <v>1.9230769230769232E-3</v>
      </c>
      <c r="K54" s="1"/>
      <c r="L54" s="1">
        <f t="shared" ref="L54:L64" si="31">+D54-H54</f>
        <v>-50</v>
      </c>
      <c r="M54" s="1"/>
      <c r="N54" s="5">
        <f t="shared" ref="N54:N64" si="32">IF(H54=0,0,L54/H54)</f>
        <v>-1</v>
      </c>
      <c r="O54" s="13"/>
      <c r="P54" s="1">
        <f>SUM(OSRRefP22_2x_0)</f>
        <v>0</v>
      </c>
      <c r="Q54" s="1"/>
      <c r="R54" s="5">
        <f t="shared" ref="R54:R64" si="33">IF(P$12=0,0,P54/P$12)</f>
        <v>0</v>
      </c>
      <c r="S54" s="1"/>
      <c r="T54" s="1">
        <f>SUM(OSRRefT22_2x_0)</f>
        <v>450</v>
      </c>
      <c r="U54" s="1"/>
      <c r="V54" s="5">
        <f t="shared" ref="V54:V64" si="34">IF(T$12=0,0,T54/T$12)</f>
        <v>1.4890160251213548E-3</v>
      </c>
      <c r="W54" s="1"/>
      <c r="X54" s="1">
        <f t="shared" ref="X54:X64" si="35">+P54-T54</f>
        <v>-450</v>
      </c>
      <c r="Y54" s="1"/>
      <c r="Z54" s="5">
        <f t="shared" ref="Z54:Z64" si="36">IF(T54=0,0,X54/T54)</f>
        <v>-1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7"/>
      <c r="E55" s="2"/>
      <c r="F55" s="6">
        <f t="shared" si="29"/>
        <v>0</v>
      </c>
      <c r="G55" s="2"/>
      <c r="H55" s="7">
        <v>50</v>
      </c>
      <c r="I55" s="2"/>
      <c r="J55" s="6">
        <f t="shared" si="30"/>
        <v>1.9230769230769232E-3</v>
      </c>
      <c r="K55" s="2"/>
      <c r="L55" s="7">
        <f t="shared" si="31"/>
        <v>-50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450</v>
      </c>
      <c r="U55" s="2"/>
      <c r="V55" s="6">
        <f t="shared" si="34"/>
        <v>1.4890160251213548E-3</v>
      </c>
      <c r="W55" s="2"/>
      <c r="X55" s="7">
        <f t="shared" si="35"/>
        <v>-450</v>
      </c>
      <c r="Y55" s="2"/>
      <c r="Z55" s="6">
        <f t="shared" si="36"/>
        <v>-1</v>
      </c>
    </row>
    <row r="56" spans="1:26" s="25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169.88</v>
      </c>
      <c r="E56" s="1"/>
      <c r="F56" s="5">
        <f t="shared" si="29"/>
        <v>7.9124359571495106E-2</v>
      </c>
      <c r="G56" s="1"/>
      <c r="H56" s="1">
        <f>SUM(OSRRefH22_3x_0)</f>
        <v>170</v>
      </c>
      <c r="I56" s="1"/>
      <c r="J56" s="5">
        <f t="shared" si="30"/>
        <v>6.5384615384615381E-3</v>
      </c>
      <c r="K56" s="1"/>
      <c r="L56" s="1">
        <f t="shared" si="31"/>
        <v>-0.12000000000000455</v>
      </c>
      <c r="M56" s="1"/>
      <c r="N56" s="5">
        <f t="shared" si="32"/>
        <v>-7.0588235294120319E-4</v>
      </c>
      <c r="O56" s="13"/>
      <c r="P56" s="1">
        <f>SUM(OSRRefP22_3x_0)</f>
        <v>1528.92</v>
      </c>
      <c r="Q56" s="1"/>
      <c r="R56" s="5">
        <f t="shared" si="33"/>
        <v>1.3774670811837251E-2</v>
      </c>
      <c r="S56" s="1"/>
      <c r="T56" s="1">
        <f>SUM(OSRRefT22_3x_0)</f>
        <v>1530</v>
      </c>
      <c r="U56" s="1"/>
      <c r="V56" s="5">
        <f t="shared" si="34"/>
        <v>5.0626544854126066E-3</v>
      </c>
      <c r="W56" s="1"/>
      <c r="X56" s="1">
        <f t="shared" si="35"/>
        <v>-1.0799999999999272</v>
      </c>
      <c r="Y56" s="1"/>
      <c r="Z56" s="5">
        <f t="shared" si="36"/>
        <v>-7.0588235294112892E-4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169.88</v>
      </c>
      <c r="E57" s="2"/>
      <c r="F57" s="6">
        <f t="shared" si="29"/>
        <v>7.9124359571495106E-2</v>
      </c>
      <c r="G57" s="2"/>
      <c r="H57" s="7">
        <v>170</v>
      </c>
      <c r="I57" s="2"/>
      <c r="J57" s="6">
        <f t="shared" si="30"/>
        <v>6.5384615384615381E-3</v>
      </c>
      <c r="K57" s="2"/>
      <c r="L57" s="7">
        <f t="shared" si="31"/>
        <v>-0.12000000000000455</v>
      </c>
      <c r="M57" s="2"/>
      <c r="N57" s="6">
        <f t="shared" si="32"/>
        <v>-7.0588235294120319E-4</v>
      </c>
      <c r="O57" s="11"/>
      <c r="P57" s="7">
        <v>1528.92</v>
      </c>
      <c r="Q57" s="2"/>
      <c r="R57" s="6">
        <f t="shared" si="33"/>
        <v>1.3774670811837251E-2</v>
      </c>
      <c r="S57" s="2"/>
      <c r="T57" s="7">
        <v>1530</v>
      </c>
      <c r="U57" s="2"/>
      <c r="V57" s="6">
        <f t="shared" si="34"/>
        <v>5.0626544854126066E-3</v>
      </c>
      <c r="W57" s="2"/>
      <c r="X57" s="7">
        <f t="shared" si="35"/>
        <v>-1.0799999999999272</v>
      </c>
      <c r="Y57" s="2"/>
      <c r="Z57" s="6">
        <f t="shared" si="36"/>
        <v>-7.0588235294112892E-4</v>
      </c>
    </row>
    <row r="58" spans="1:26" s="25" customFormat="1" outlineLevel="1" collapsed="1" x14ac:dyDescent="0.25">
      <c r="A58" s="27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0</v>
      </c>
      <c r="E58" s="1"/>
      <c r="F58" s="5">
        <f t="shared" si="29"/>
        <v>0</v>
      </c>
      <c r="G58" s="1"/>
      <c r="H58" s="1">
        <f>SUM(OSRRefH22_4x_0)</f>
        <v>50</v>
      </c>
      <c r="I58" s="1"/>
      <c r="J58" s="5">
        <f t="shared" si="30"/>
        <v>1.9230769230769232E-3</v>
      </c>
      <c r="K58" s="1"/>
      <c r="L58" s="1">
        <f t="shared" si="31"/>
        <v>-50</v>
      </c>
      <c r="M58" s="1"/>
      <c r="N58" s="5">
        <f t="shared" si="32"/>
        <v>-1</v>
      </c>
      <c r="O58" s="13"/>
      <c r="P58" s="1">
        <f>SUM(OSRRefP22_4x_0)</f>
        <v>0</v>
      </c>
      <c r="Q58" s="1"/>
      <c r="R58" s="5">
        <f t="shared" si="33"/>
        <v>0</v>
      </c>
      <c r="S58" s="1"/>
      <c r="T58" s="1">
        <f>SUM(OSRRefT22_4x_0)</f>
        <v>450</v>
      </c>
      <c r="U58" s="1"/>
      <c r="V58" s="5">
        <f t="shared" si="34"/>
        <v>1.4890160251213548E-3</v>
      </c>
      <c r="W58" s="1"/>
      <c r="X58" s="1">
        <f t="shared" si="35"/>
        <v>-450</v>
      </c>
      <c r="Y58" s="1"/>
      <c r="Z58" s="5">
        <f t="shared" si="36"/>
        <v>-1</v>
      </c>
    </row>
    <row r="59" spans="1:26" s="24" customFormat="1" hidden="1" outlineLevel="2" x14ac:dyDescent="0.25">
      <c r="A59" s="26"/>
      <c r="B59" s="11" t="str">
        <f>CONCATENATE("          ", "6382", " - ", "DISCOUNTS/MARK DOWNS")</f>
        <v xml:space="preserve">          6382 - DISCOUNTS/MARK DOWNS</v>
      </c>
      <c r="C59" s="11"/>
      <c r="D59" s="7"/>
      <c r="E59" s="2"/>
      <c r="F59" s="6">
        <f t="shared" si="29"/>
        <v>0</v>
      </c>
      <c r="G59" s="2"/>
      <c r="H59" s="7">
        <v>50</v>
      </c>
      <c r="I59" s="2"/>
      <c r="J59" s="6">
        <f t="shared" si="30"/>
        <v>1.9230769230769232E-3</v>
      </c>
      <c r="K59" s="2"/>
      <c r="L59" s="7">
        <f t="shared" si="31"/>
        <v>-50</v>
      </c>
      <c r="M59" s="2"/>
      <c r="N59" s="6">
        <f t="shared" si="32"/>
        <v>-1</v>
      </c>
      <c r="O59" s="11"/>
      <c r="P59" s="7">
        <v>0</v>
      </c>
      <c r="Q59" s="2"/>
      <c r="R59" s="6">
        <f t="shared" si="33"/>
        <v>0</v>
      </c>
      <c r="S59" s="2"/>
      <c r="T59" s="7">
        <v>450</v>
      </c>
      <c r="U59" s="2"/>
      <c r="V59" s="6">
        <f t="shared" si="34"/>
        <v>1.4890160251213548E-3</v>
      </c>
      <c r="W59" s="2"/>
      <c r="X59" s="7">
        <f t="shared" si="35"/>
        <v>-450</v>
      </c>
      <c r="Y59" s="2"/>
      <c r="Z59" s="6">
        <f t="shared" si="36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SUM(OSRRefD22_5x_0)</f>
        <v>1205.6400000000001</v>
      </c>
      <c r="E60" s="1"/>
      <c r="F60" s="5">
        <f t="shared" si="29"/>
        <v>0.56154634373544488</v>
      </c>
      <c r="G60" s="1"/>
      <c r="H60" s="1">
        <f>SUM(OSRRefH22_5x_0)</f>
        <v>1206</v>
      </c>
      <c r="I60" s="1"/>
      <c r="J60" s="5">
        <f t="shared" si="30"/>
        <v>4.6384615384615385E-2</v>
      </c>
      <c r="K60" s="1"/>
      <c r="L60" s="1">
        <f t="shared" si="31"/>
        <v>-0.35999999999989996</v>
      </c>
      <c r="M60" s="1"/>
      <c r="N60" s="5">
        <f t="shared" si="32"/>
        <v>-2.9850746268648423E-4</v>
      </c>
      <c r="O60" s="13"/>
      <c r="P60" s="1">
        <f>SUM(OSRRefP22_5x_0)</f>
        <v>10850.76</v>
      </c>
      <c r="Q60" s="1"/>
      <c r="R60" s="5">
        <f t="shared" si="33"/>
        <v>9.7758971730536048E-2</v>
      </c>
      <c r="S60" s="1"/>
      <c r="T60" s="1">
        <f>SUM(OSRRefT22_5x_0)</f>
        <v>10854</v>
      </c>
      <c r="U60" s="1"/>
      <c r="V60" s="5">
        <f t="shared" si="34"/>
        <v>3.5915066525927075E-2</v>
      </c>
      <c r="W60" s="1"/>
      <c r="X60" s="1">
        <f t="shared" si="35"/>
        <v>-3.2399999999997817</v>
      </c>
      <c r="Y60" s="1"/>
      <c r="Z60" s="5">
        <f t="shared" si="36"/>
        <v>-2.9850746268654706E-4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1205.6400000000001</v>
      </c>
      <c r="E61" s="2"/>
      <c r="F61" s="6">
        <f t="shared" si="29"/>
        <v>0.56154634373544488</v>
      </c>
      <c r="G61" s="2"/>
      <c r="H61" s="7">
        <v>1206</v>
      </c>
      <c r="I61" s="2"/>
      <c r="J61" s="6">
        <f t="shared" si="30"/>
        <v>4.6384615384615385E-2</v>
      </c>
      <c r="K61" s="2"/>
      <c r="L61" s="7">
        <f t="shared" si="31"/>
        <v>-0.35999999999989996</v>
      </c>
      <c r="M61" s="2"/>
      <c r="N61" s="6">
        <f t="shared" si="32"/>
        <v>-2.9850746268648423E-4</v>
      </c>
      <c r="O61" s="11"/>
      <c r="P61" s="7">
        <v>10850.76</v>
      </c>
      <c r="Q61" s="2"/>
      <c r="R61" s="6">
        <f t="shared" si="33"/>
        <v>9.7758971730536048E-2</v>
      </c>
      <c r="S61" s="2"/>
      <c r="T61" s="7">
        <v>10854</v>
      </c>
      <c r="U61" s="2"/>
      <c r="V61" s="6">
        <f t="shared" si="34"/>
        <v>3.5915066525927075E-2</v>
      </c>
      <c r="W61" s="2"/>
      <c r="X61" s="7">
        <f t="shared" si="35"/>
        <v>-3.2399999999997817</v>
      </c>
      <c r="Y61" s="2"/>
      <c r="Z61" s="6">
        <f t="shared" si="36"/>
        <v>-2.9850746268654706E-4</v>
      </c>
    </row>
    <row r="62" spans="1:26" s="25" customFormat="1" outlineLevel="1" collapsed="1" x14ac:dyDescent="0.25">
      <c r="A62" s="27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SUM(OSRRefD22_6x_0)</f>
        <v>-8583.6000000000022</v>
      </c>
      <c r="E62" s="1"/>
      <c r="F62" s="5">
        <f t="shared" si="29"/>
        <v>-3.9979506287843511</v>
      </c>
      <c r="G62" s="1"/>
      <c r="H62" s="1">
        <f>SUM(OSRRefH22_6x_0)</f>
        <v>-18000</v>
      </c>
      <c r="I62" s="1"/>
      <c r="J62" s="5">
        <f t="shared" si="30"/>
        <v>-0.69230769230769229</v>
      </c>
      <c r="K62" s="1"/>
      <c r="L62" s="1">
        <f t="shared" si="31"/>
        <v>9416.3999999999978</v>
      </c>
      <c r="M62" s="1"/>
      <c r="N62" s="5">
        <f t="shared" si="32"/>
        <v>-0.52313333333333323</v>
      </c>
      <c r="O62" s="13"/>
      <c r="P62" s="1">
        <f>SUM(OSRRefP22_6x_0)</f>
        <v>-54006.010000000009</v>
      </c>
      <c r="Q62" s="1"/>
      <c r="R62" s="5">
        <f t="shared" si="33"/>
        <v>-0.48656241635323683</v>
      </c>
      <c r="S62" s="1"/>
      <c r="T62" s="1">
        <f>SUM(OSRRefT22_6x_0)</f>
        <v>10510</v>
      </c>
      <c r="U62" s="1"/>
      <c r="V62" s="5">
        <f t="shared" si="34"/>
        <v>3.4776796497834307E-2</v>
      </c>
      <c r="W62" s="1"/>
      <c r="X62" s="1">
        <f t="shared" si="35"/>
        <v>-64516.010000000009</v>
      </c>
      <c r="Y62" s="1"/>
      <c r="Z62" s="5">
        <f t="shared" si="36"/>
        <v>-6.1385356803044724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7">
        <v>10582.48</v>
      </c>
      <c r="E63" s="2"/>
      <c r="F63" s="6">
        <f t="shared" si="29"/>
        <v>4.9289613414066134</v>
      </c>
      <c r="G63" s="2"/>
      <c r="H63" s="7">
        <v>2000</v>
      </c>
      <c r="I63" s="2"/>
      <c r="J63" s="6">
        <f t="shared" si="30"/>
        <v>7.6923076923076927E-2</v>
      </c>
      <c r="K63" s="2"/>
      <c r="L63" s="7">
        <f t="shared" si="31"/>
        <v>8582.48</v>
      </c>
      <c r="M63" s="2"/>
      <c r="N63" s="6">
        <f t="shared" si="32"/>
        <v>4.2912400000000002</v>
      </c>
      <c r="O63" s="11"/>
      <c r="P63" s="7">
        <v>161479.19</v>
      </c>
      <c r="Q63" s="2"/>
      <c r="R63" s="6">
        <f t="shared" si="33"/>
        <v>1.4548326172802513</v>
      </c>
      <c r="S63" s="2"/>
      <c r="T63" s="7">
        <v>32960</v>
      </c>
      <c r="U63" s="2"/>
      <c r="V63" s="6">
        <f t="shared" si="34"/>
        <v>0.10906215152888857</v>
      </c>
      <c r="W63" s="2"/>
      <c r="X63" s="7">
        <f t="shared" si="35"/>
        <v>128519.19</v>
      </c>
      <c r="Y63" s="2"/>
      <c r="Z63" s="6">
        <f t="shared" si="36"/>
        <v>3.8992472694174758</v>
      </c>
    </row>
    <row r="64" spans="1:26" s="24" customFormat="1" hidden="1" outlineLevel="2" x14ac:dyDescent="0.25">
      <c r="A64" s="26"/>
      <c r="B64" s="11" t="str">
        <f>CONCATENATE("          ", "6307", " - ", "POSTAGE")</f>
        <v xml:space="preserve">          6307 - POSTAGE</v>
      </c>
      <c r="C64" s="11"/>
      <c r="D64" s="7">
        <v>-19166.080000000002</v>
      </c>
      <c r="E64" s="2"/>
      <c r="F64" s="6">
        <f t="shared" si="29"/>
        <v>-8.9269119701909645</v>
      </c>
      <c r="G64" s="2"/>
      <c r="H64" s="7">
        <v>-20000</v>
      </c>
      <c r="I64" s="2"/>
      <c r="J64" s="6">
        <f t="shared" si="30"/>
        <v>-0.76923076923076927</v>
      </c>
      <c r="K64" s="2"/>
      <c r="L64" s="7">
        <f t="shared" si="31"/>
        <v>833.91999999999825</v>
      </c>
      <c r="M64" s="2"/>
      <c r="N64" s="6">
        <f t="shared" si="32"/>
        <v>-4.1695999999999914E-2</v>
      </c>
      <c r="O64" s="11"/>
      <c r="P64" s="7">
        <v>-215485.2</v>
      </c>
      <c r="Q64" s="2"/>
      <c r="R64" s="6">
        <f t="shared" si="33"/>
        <v>-1.941395033633488</v>
      </c>
      <c r="S64" s="2"/>
      <c r="T64" s="7">
        <v>-22450</v>
      </c>
      <c r="U64" s="2"/>
      <c r="V64" s="6">
        <f t="shared" si="34"/>
        <v>-7.4285355031054254E-2</v>
      </c>
      <c r="W64" s="2"/>
      <c r="X64" s="7">
        <f t="shared" si="35"/>
        <v>-193035.2</v>
      </c>
      <c r="Y64" s="2"/>
      <c r="Z64" s="6">
        <f t="shared" si="36"/>
        <v>8.5984498886414258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SUM(OSRRefD22_7x_0)</f>
        <v>85.78</v>
      </c>
      <c r="E65" s="1"/>
      <c r="F65" s="5">
        <f t="shared" ref="F65:F67" si="37">IF(D$12=0,0,D65/D$12)</f>
        <v>3.9953423381462509E-2</v>
      </c>
      <c r="G65" s="1"/>
      <c r="H65" s="1">
        <f>SUM(OSRRefH22_7x_0)</f>
        <v>10000</v>
      </c>
      <c r="I65" s="1"/>
      <c r="J65" s="5">
        <f t="shared" ref="J65:J67" si="38">IF(H$12=0,0,H65/H$12)</f>
        <v>0.38461538461538464</v>
      </c>
      <c r="K65" s="1"/>
      <c r="L65" s="1">
        <f t="shared" ref="L65:L67" si="39">+D65-H65</f>
        <v>-9914.2199999999993</v>
      </c>
      <c r="M65" s="1"/>
      <c r="N65" s="5">
        <f t="shared" ref="N65:N67" si="40">IF(H65=0,0,L65/H65)</f>
        <v>-0.99142199999999991</v>
      </c>
      <c r="O65" s="13"/>
      <c r="P65" s="1">
        <f>SUM(OSRRefP22_7x_0)</f>
        <v>30991.34</v>
      </c>
      <c r="Q65" s="1"/>
      <c r="R65" s="5">
        <f t="shared" ref="R65:R67" si="41">IF(P$12=0,0,P65/P$12)</f>
        <v>0.27921376299461337</v>
      </c>
      <c r="S65" s="1"/>
      <c r="T65" s="1">
        <f>SUM(OSRRefT22_7x_0)</f>
        <v>50400</v>
      </c>
      <c r="U65" s="1"/>
      <c r="V65" s="5">
        <f t="shared" ref="V65:V67" si="42">IF(T$12=0,0,T65/T$12)</f>
        <v>0.16676979481359175</v>
      </c>
      <c r="W65" s="1"/>
      <c r="X65" s="1">
        <f t="shared" ref="X65:X67" si="43">+P65-T65</f>
        <v>-19408.66</v>
      </c>
      <c r="Y65" s="1"/>
      <c r="Z65" s="5">
        <f t="shared" ref="Z65:Z67" si="44">IF(T65=0,0,X65/T65)</f>
        <v>-0.38509246031746031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7"/>
        <v>0</v>
      </c>
      <c r="G66" s="2"/>
      <c r="H66" s="7"/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>
        <v>7.69</v>
      </c>
      <c r="Q66" s="2"/>
      <c r="R66" s="6">
        <f t="shared" si="41"/>
        <v>6.9282381382301532E-5</v>
      </c>
      <c r="S66" s="2"/>
      <c r="T66" s="7"/>
      <c r="U66" s="2"/>
      <c r="V66" s="6">
        <f t="shared" si="42"/>
        <v>0</v>
      </c>
      <c r="W66" s="2"/>
      <c r="X66" s="7">
        <f t="shared" si="43"/>
        <v>7.69</v>
      </c>
      <c r="Y66" s="2"/>
      <c r="Z66" s="6">
        <f t="shared" si="44"/>
        <v>0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>
        <v>85.78</v>
      </c>
      <c r="E67" s="2"/>
      <c r="F67" s="6">
        <f t="shared" si="37"/>
        <v>3.9953423381462509E-2</v>
      </c>
      <c r="G67" s="2"/>
      <c r="H67" s="7">
        <v>10000</v>
      </c>
      <c r="I67" s="2"/>
      <c r="J67" s="6">
        <f t="shared" si="38"/>
        <v>0.38461538461538464</v>
      </c>
      <c r="K67" s="2"/>
      <c r="L67" s="7">
        <f t="shared" si="39"/>
        <v>-9914.2199999999993</v>
      </c>
      <c r="M67" s="2"/>
      <c r="N67" s="6">
        <f t="shared" si="40"/>
        <v>-0.99142199999999991</v>
      </c>
      <c r="O67" s="11"/>
      <c r="P67" s="7">
        <v>30983.65</v>
      </c>
      <c r="Q67" s="2"/>
      <c r="R67" s="6">
        <f t="shared" si="41"/>
        <v>0.27914448061323105</v>
      </c>
      <c r="S67" s="2"/>
      <c r="T67" s="7">
        <v>50400</v>
      </c>
      <c r="U67" s="2"/>
      <c r="V67" s="6">
        <f t="shared" si="42"/>
        <v>0.16676979481359175</v>
      </c>
      <c r="W67" s="2"/>
      <c r="X67" s="7">
        <f t="shared" si="43"/>
        <v>-19416.349999999999</v>
      </c>
      <c r="Y67" s="2"/>
      <c r="Z67" s="6">
        <f t="shared" si="44"/>
        <v>-0.38524503968253965</v>
      </c>
    </row>
    <row r="68" spans="1:26" s="25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SUM(OSRRefD22_8x_0)</f>
        <v>27.21</v>
      </c>
      <c r="E68" s="1"/>
      <c r="F68" s="5">
        <f t="shared" ref="F68:F75" si="45">IF(D$12=0,0,D68/D$12)</f>
        <v>1.2673497904052167E-2</v>
      </c>
      <c r="G68" s="1"/>
      <c r="H68" s="1">
        <f>SUM(OSRRefH22_8x_0)</f>
        <v>4200</v>
      </c>
      <c r="I68" s="1"/>
      <c r="J68" s="5">
        <f t="shared" ref="J68:J75" si="46">IF(H$12=0,0,H68/H$12)</f>
        <v>0.16153846153846155</v>
      </c>
      <c r="K68" s="1"/>
      <c r="L68" s="1">
        <f t="shared" ref="L68:L75" si="47">+D68-H68</f>
        <v>-4172.79</v>
      </c>
      <c r="M68" s="1"/>
      <c r="N68" s="5">
        <f t="shared" ref="N68:N75" si="48">IF(H68=0,0,L68/H68)</f>
        <v>-0.99352142857142856</v>
      </c>
      <c r="O68" s="13"/>
      <c r="P68" s="1">
        <f>SUM(OSRRefP22_8x_0)</f>
        <v>10663.62</v>
      </c>
      <c r="Q68" s="1"/>
      <c r="R68" s="5">
        <f t="shared" ref="R68:R75" si="49">IF(P$12=0,0,P68/P$12)</f>
        <v>9.6072950293359993E-2</v>
      </c>
      <c r="S68" s="1"/>
      <c r="T68" s="1">
        <f>SUM(OSRRefT22_8x_0)</f>
        <v>23550</v>
      </c>
      <c r="U68" s="1"/>
      <c r="V68" s="5">
        <f t="shared" ref="V68:V75" si="50">IF(T$12=0,0,T68/T$12)</f>
        <v>7.7925171981350905E-2</v>
      </c>
      <c r="W68" s="1"/>
      <c r="X68" s="1">
        <f t="shared" ref="X68:X75" si="51">+P68-T68</f>
        <v>-12886.38</v>
      </c>
      <c r="Y68" s="1"/>
      <c r="Z68" s="5">
        <f t="shared" ref="Z68:Z75" si="52">IF(T68=0,0,X68/T68)</f>
        <v>-0.54719235668789801</v>
      </c>
    </row>
    <row r="69" spans="1:26" s="24" customFormat="1" hidden="1" outlineLevel="2" x14ac:dyDescent="0.25">
      <c r="A69" s="26"/>
      <c r="B69" s="11" t="str">
        <f>CONCATENATE("          ", "6259", " - ", "ROYALTY &amp; COMMISSIONS")</f>
        <v xml:space="preserve">          6259 - ROYALTY &amp; COMMISSIONS</v>
      </c>
      <c r="C69" s="11"/>
      <c r="D69" s="7">
        <v>27.21</v>
      </c>
      <c r="E69" s="2"/>
      <c r="F69" s="6">
        <f t="shared" si="45"/>
        <v>1.2673497904052167E-2</v>
      </c>
      <c r="G69" s="2"/>
      <c r="H69" s="7">
        <v>4200</v>
      </c>
      <c r="I69" s="2"/>
      <c r="J69" s="6">
        <f t="shared" si="46"/>
        <v>0.16153846153846155</v>
      </c>
      <c r="K69" s="2"/>
      <c r="L69" s="7">
        <f t="shared" si="47"/>
        <v>-4172.79</v>
      </c>
      <c r="M69" s="2"/>
      <c r="N69" s="6">
        <f t="shared" si="48"/>
        <v>-0.99352142857142856</v>
      </c>
      <c r="O69" s="11"/>
      <c r="P69" s="7">
        <v>10663.62</v>
      </c>
      <c r="Q69" s="2"/>
      <c r="R69" s="6">
        <f t="shared" si="49"/>
        <v>9.6072950293359993E-2</v>
      </c>
      <c r="S69" s="2"/>
      <c r="T69" s="7">
        <v>23550</v>
      </c>
      <c r="U69" s="2"/>
      <c r="V69" s="6">
        <f t="shared" si="50"/>
        <v>7.7925171981350905E-2</v>
      </c>
      <c r="W69" s="2"/>
      <c r="X69" s="7">
        <f t="shared" si="51"/>
        <v>-12886.38</v>
      </c>
      <c r="Y69" s="2"/>
      <c r="Z69" s="6">
        <f t="shared" si="52"/>
        <v>-0.54719235668789801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SUM(OSRRefD22_9x_0)</f>
        <v>2585.0099999999998</v>
      </c>
      <c r="E70" s="1"/>
      <c r="F70" s="5">
        <f t="shared" si="45"/>
        <v>1.204010246856078</v>
      </c>
      <c r="G70" s="1"/>
      <c r="H70" s="1">
        <f>SUM(OSRRefH22_9x_0)</f>
        <v>5900</v>
      </c>
      <c r="I70" s="1"/>
      <c r="J70" s="5">
        <f t="shared" si="46"/>
        <v>0.22692307692307692</v>
      </c>
      <c r="K70" s="1"/>
      <c r="L70" s="1">
        <f t="shared" si="47"/>
        <v>-3314.9900000000002</v>
      </c>
      <c r="M70" s="1"/>
      <c r="N70" s="5">
        <f t="shared" si="48"/>
        <v>-0.56186271186440684</v>
      </c>
      <c r="O70" s="13"/>
      <c r="P70" s="1">
        <f>SUM(OSRRefP22_9x_0)</f>
        <v>32513.17</v>
      </c>
      <c r="Q70" s="1"/>
      <c r="R70" s="5">
        <f t="shared" si="49"/>
        <v>0.29292455707251036</v>
      </c>
      <c r="S70" s="1"/>
      <c r="T70" s="1">
        <f>SUM(OSRRefT22_9x_0)</f>
        <v>19550</v>
      </c>
      <c r="U70" s="1"/>
      <c r="V70" s="5">
        <f t="shared" si="50"/>
        <v>6.4689473980272194E-2</v>
      </c>
      <c r="W70" s="1"/>
      <c r="X70" s="1">
        <f t="shared" si="51"/>
        <v>12963.169999999998</v>
      </c>
      <c r="Y70" s="1"/>
      <c r="Z70" s="5">
        <f t="shared" si="52"/>
        <v>0.6630777493606137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45"/>
        <v>0</v>
      </c>
      <c r="G71" s="2"/>
      <c r="H71" s="7"/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>
        <v>310.91000000000003</v>
      </c>
      <c r="Q71" s="2"/>
      <c r="R71" s="6">
        <f t="shared" si="49"/>
        <v>2.8011164103473826E-3</v>
      </c>
      <c r="S71" s="2"/>
      <c r="T71" s="7"/>
      <c r="U71" s="2"/>
      <c r="V71" s="6">
        <f t="shared" si="50"/>
        <v>0</v>
      </c>
      <c r="W71" s="2"/>
      <c r="X71" s="7">
        <f t="shared" si="51"/>
        <v>310.91000000000003</v>
      </c>
      <c r="Y71" s="2"/>
      <c r="Z71" s="6">
        <f t="shared" si="52"/>
        <v>0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7">
        <v>46.64</v>
      </c>
      <c r="E72" s="2"/>
      <c r="F72" s="6">
        <f t="shared" si="45"/>
        <v>2.1723334885887284E-2</v>
      </c>
      <c r="G72" s="2"/>
      <c r="H72" s="7"/>
      <c r="I72" s="2"/>
      <c r="J72" s="6">
        <f t="shared" si="46"/>
        <v>0</v>
      </c>
      <c r="K72" s="2"/>
      <c r="L72" s="7">
        <f t="shared" si="47"/>
        <v>46.64</v>
      </c>
      <c r="M72" s="2"/>
      <c r="N72" s="6">
        <f t="shared" si="48"/>
        <v>0</v>
      </c>
      <c r="O72" s="11"/>
      <c r="P72" s="7">
        <v>4651.21</v>
      </c>
      <c r="Q72" s="2"/>
      <c r="R72" s="6">
        <f t="shared" si="49"/>
        <v>4.1904669064912185E-2</v>
      </c>
      <c r="S72" s="2"/>
      <c r="T72" s="7"/>
      <c r="U72" s="2"/>
      <c r="V72" s="6">
        <f t="shared" si="50"/>
        <v>0</v>
      </c>
      <c r="W72" s="2"/>
      <c r="X72" s="7">
        <f t="shared" si="51"/>
        <v>4651.21</v>
      </c>
      <c r="Y72" s="2"/>
      <c r="Z72" s="6">
        <f t="shared" si="52"/>
        <v>0</v>
      </c>
    </row>
    <row r="73" spans="1:26" s="24" customFormat="1" hidden="1" outlineLevel="2" x14ac:dyDescent="0.25">
      <c r="A73" s="26"/>
      <c r="B73" s="11" t="str">
        <f>CONCATENATE("          ", "6243", " - ", "PAPER SUPPLIES")</f>
        <v xml:space="preserve">          6243 - PAPER SUPPLIES</v>
      </c>
      <c r="C73" s="11"/>
      <c r="D73" s="7">
        <v>309.25</v>
      </c>
      <c r="E73" s="2"/>
      <c r="F73" s="6">
        <f t="shared" si="45"/>
        <v>0.14403819282720073</v>
      </c>
      <c r="G73" s="2"/>
      <c r="H73" s="7">
        <v>5600</v>
      </c>
      <c r="I73" s="2"/>
      <c r="J73" s="6">
        <f t="shared" si="46"/>
        <v>0.2153846153846154</v>
      </c>
      <c r="K73" s="2"/>
      <c r="L73" s="7">
        <f t="shared" si="47"/>
        <v>-5290.75</v>
      </c>
      <c r="M73" s="2"/>
      <c r="N73" s="6">
        <f t="shared" si="48"/>
        <v>-0.94477678571428569</v>
      </c>
      <c r="O73" s="11"/>
      <c r="P73" s="7">
        <v>6482.65</v>
      </c>
      <c r="Q73" s="2"/>
      <c r="R73" s="6">
        <f t="shared" si="49"/>
        <v>5.8404867317032122E-2</v>
      </c>
      <c r="S73" s="2"/>
      <c r="T73" s="7">
        <v>16800</v>
      </c>
      <c r="U73" s="2"/>
      <c r="V73" s="6">
        <f t="shared" si="50"/>
        <v>5.5589931604530581E-2</v>
      </c>
      <c r="W73" s="2"/>
      <c r="X73" s="7">
        <f t="shared" si="51"/>
        <v>-10317.35</v>
      </c>
      <c r="Y73" s="2"/>
      <c r="Z73" s="6">
        <f t="shared" si="52"/>
        <v>-0.61412797619047621</v>
      </c>
    </row>
    <row r="74" spans="1:26" s="24" customFormat="1" hidden="1" outlineLevel="2" x14ac:dyDescent="0.25">
      <c r="A74" s="26"/>
      <c r="B74" s="11" t="str">
        <f>CONCATENATE("          ", "6245", " - ", "PRINTING")</f>
        <v xml:space="preserve">          6245 - PRINTING</v>
      </c>
      <c r="C74" s="11"/>
      <c r="D74" s="7">
        <v>447.27</v>
      </c>
      <c r="E74" s="2"/>
      <c r="F74" s="6">
        <f t="shared" si="45"/>
        <v>0.20832324173265021</v>
      </c>
      <c r="G74" s="2"/>
      <c r="H74" s="7">
        <v>200</v>
      </c>
      <c r="I74" s="2"/>
      <c r="J74" s="6">
        <f t="shared" si="46"/>
        <v>7.6923076923076927E-3</v>
      </c>
      <c r="K74" s="2"/>
      <c r="L74" s="7">
        <f t="shared" si="47"/>
        <v>247.26999999999998</v>
      </c>
      <c r="M74" s="2"/>
      <c r="N74" s="6">
        <f t="shared" si="48"/>
        <v>1.2363499999999998</v>
      </c>
      <c r="O74" s="11"/>
      <c r="P74" s="7">
        <v>1285.55</v>
      </c>
      <c r="Q74" s="2"/>
      <c r="R74" s="6">
        <f t="shared" si="49"/>
        <v>1.1582050115216871E-2</v>
      </c>
      <c r="S74" s="2"/>
      <c r="T74" s="7">
        <v>1900</v>
      </c>
      <c r="U74" s="2"/>
      <c r="V74" s="6">
        <f t="shared" si="50"/>
        <v>6.2869565505123872E-3</v>
      </c>
      <c r="W74" s="2"/>
      <c r="X74" s="7">
        <f t="shared" si="51"/>
        <v>-614.45000000000005</v>
      </c>
      <c r="Y74" s="2"/>
      <c r="Z74" s="6">
        <f t="shared" si="52"/>
        <v>-0.32339473684210529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7">
        <v>1781.85</v>
      </c>
      <c r="E75" s="2"/>
      <c r="F75" s="6">
        <f t="shared" si="45"/>
        <v>0.82992547741033995</v>
      </c>
      <c r="G75" s="2"/>
      <c r="H75" s="7">
        <v>100</v>
      </c>
      <c r="I75" s="2"/>
      <c r="J75" s="6">
        <f t="shared" si="46"/>
        <v>3.8461538461538464E-3</v>
      </c>
      <c r="K75" s="2"/>
      <c r="L75" s="7">
        <f t="shared" si="47"/>
        <v>1681.85</v>
      </c>
      <c r="M75" s="2"/>
      <c r="N75" s="6">
        <f t="shared" si="48"/>
        <v>16.8185</v>
      </c>
      <c r="O75" s="11"/>
      <c r="P75" s="7">
        <v>19782.849999999999</v>
      </c>
      <c r="Q75" s="2"/>
      <c r="R75" s="6">
        <f t="shared" si="49"/>
        <v>0.17823185416500179</v>
      </c>
      <c r="S75" s="2"/>
      <c r="T75" s="7">
        <v>850</v>
      </c>
      <c r="U75" s="2"/>
      <c r="V75" s="6">
        <f t="shared" si="50"/>
        <v>2.8125858252292259E-3</v>
      </c>
      <c r="W75" s="2"/>
      <c r="X75" s="7">
        <f t="shared" si="51"/>
        <v>18932.849999999999</v>
      </c>
      <c r="Y75" s="2"/>
      <c r="Z75" s="6">
        <f t="shared" si="52"/>
        <v>22.273941176470586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SUM(OSRRefD22_10x_0)</f>
        <v>82.1</v>
      </c>
      <c r="E76" s="1"/>
      <c r="F76" s="5">
        <f t="shared" ref="F76:F79" si="53">IF(D$12=0,0,D76/D$12)</f>
        <v>3.8239403819282716E-2</v>
      </c>
      <c r="G76" s="1"/>
      <c r="H76" s="1">
        <f>SUM(OSRRefH22_10x_0)</f>
        <v>165</v>
      </c>
      <c r="I76" s="1"/>
      <c r="J76" s="5">
        <f t="shared" ref="J76:J79" si="54">IF(H$12=0,0,H76/H$12)</f>
        <v>6.346153846153846E-3</v>
      </c>
      <c r="K76" s="1"/>
      <c r="L76" s="1">
        <f t="shared" ref="L76:L79" si="55">+D76-H76</f>
        <v>-82.9</v>
      </c>
      <c r="M76" s="1"/>
      <c r="N76" s="5">
        <f t="shared" ref="N76:N79" si="56">IF(H76=0,0,L76/H76)</f>
        <v>-0.50242424242424244</v>
      </c>
      <c r="O76" s="13"/>
      <c r="P76" s="1">
        <f>SUM(OSRRefP22_10x_0)</f>
        <v>1503.4</v>
      </c>
      <c r="Q76" s="1"/>
      <c r="R76" s="5">
        <f t="shared" ref="R76:R79" si="57">IF(P$12=0,0,P76/P$12)</f>
        <v>1.3544750607301967E-2</v>
      </c>
      <c r="S76" s="1"/>
      <c r="T76" s="1">
        <f>SUM(OSRRefT22_10x_0)</f>
        <v>1485</v>
      </c>
      <c r="U76" s="1"/>
      <c r="V76" s="5">
        <f t="shared" ref="V76:V79" si="58">IF(T$12=0,0,T76/T$12)</f>
        <v>4.913752882900471E-3</v>
      </c>
      <c r="W76" s="1"/>
      <c r="X76" s="1">
        <f t="shared" ref="X76:X79" si="59">+P76-T76</f>
        <v>18.400000000000091</v>
      </c>
      <c r="Y76" s="1"/>
      <c r="Z76" s="5">
        <f t="shared" ref="Z76:Z79" si="60">IF(T76=0,0,X76/T76)</f>
        <v>1.2390572390572452E-2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82.1</v>
      </c>
      <c r="E77" s="2"/>
      <c r="F77" s="6">
        <f t="shared" si="53"/>
        <v>3.8239403819282716E-2</v>
      </c>
      <c r="G77" s="2"/>
      <c r="H77" s="7">
        <v>165</v>
      </c>
      <c r="I77" s="2"/>
      <c r="J77" s="6">
        <f t="shared" si="54"/>
        <v>6.346153846153846E-3</v>
      </c>
      <c r="K77" s="2"/>
      <c r="L77" s="7">
        <f t="shared" si="55"/>
        <v>-82.9</v>
      </c>
      <c r="M77" s="2"/>
      <c r="N77" s="6">
        <f t="shared" si="56"/>
        <v>-0.50242424242424244</v>
      </c>
      <c r="O77" s="11"/>
      <c r="P77" s="7">
        <v>1503.4</v>
      </c>
      <c r="Q77" s="2"/>
      <c r="R77" s="6">
        <f t="shared" si="57"/>
        <v>1.3544750607301967E-2</v>
      </c>
      <c r="S77" s="2"/>
      <c r="T77" s="7">
        <v>1485</v>
      </c>
      <c r="U77" s="2"/>
      <c r="V77" s="6">
        <f t="shared" si="58"/>
        <v>4.913752882900471E-3</v>
      </c>
      <c r="W77" s="2"/>
      <c r="X77" s="7">
        <f t="shared" si="59"/>
        <v>18.400000000000091</v>
      </c>
      <c r="Y77" s="2"/>
      <c r="Z77" s="6">
        <f t="shared" si="60"/>
        <v>1.2390572390572452E-2</v>
      </c>
    </row>
    <row r="78" spans="1:26" s="25" customFormat="1" outlineLevel="1" collapsed="1" x14ac:dyDescent="0.25">
      <c r="A78" s="27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SUM(OSRRefD22_11x_0)</f>
        <v>0</v>
      </c>
      <c r="E78" s="1"/>
      <c r="F78" s="5">
        <f t="shared" si="53"/>
        <v>0</v>
      </c>
      <c r="G78" s="1"/>
      <c r="H78" s="1">
        <f>SUM(OSRRefH22_11x_0)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3"/>
      <c r="P78" s="1">
        <f>SUM(OSRRefP22_11x_0)</f>
        <v>15.02</v>
      </c>
      <c r="Q78" s="1"/>
      <c r="R78" s="5">
        <f t="shared" si="57"/>
        <v>1.3532137429937178E-4</v>
      </c>
      <c r="S78" s="1"/>
      <c r="T78" s="1">
        <f>SUM(OSRRefT22_11x_0)</f>
        <v>0</v>
      </c>
      <c r="U78" s="1"/>
      <c r="V78" s="5">
        <f t="shared" si="58"/>
        <v>0</v>
      </c>
      <c r="W78" s="1"/>
      <c r="X78" s="1">
        <f t="shared" si="59"/>
        <v>15.02</v>
      </c>
      <c r="Y78" s="1"/>
      <c r="Z78" s="5">
        <f t="shared" si="60"/>
        <v>0</v>
      </c>
    </row>
    <row r="79" spans="1:26" s="24" customFormat="1" hidden="1" outlineLevel="2" x14ac:dyDescent="0.25">
      <c r="A79" s="26"/>
      <c r="B79" s="11" t="str">
        <f>CONCATENATE("          ", "6274", " - ", "UTILITIES")</f>
        <v xml:space="preserve">          6274 - UTILITIES</v>
      </c>
      <c r="C79" s="11"/>
      <c r="D79" s="7"/>
      <c r="E79" s="2"/>
      <c r="F79" s="6">
        <f t="shared" si="53"/>
        <v>0</v>
      </c>
      <c r="G79" s="2"/>
      <c r="H79" s="7"/>
      <c r="I79" s="2"/>
      <c r="J79" s="6">
        <f t="shared" si="54"/>
        <v>0</v>
      </c>
      <c r="K79" s="2"/>
      <c r="L79" s="7">
        <f t="shared" si="55"/>
        <v>0</v>
      </c>
      <c r="M79" s="2"/>
      <c r="N79" s="6">
        <f t="shared" si="56"/>
        <v>0</v>
      </c>
      <c r="O79" s="11"/>
      <c r="P79" s="7">
        <v>15.02</v>
      </c>
      <c r="Q79" s="2"/>
      <c r="R79" s="6">
        <f t="shared" si="57"/>
        <v>1.3532137429937178E-4</v>
      </c>
      <c r="S79" s="2"/>
      <c r="T79" s="7"/>
      <c r="U79" s="2"/>
      <c r="V79" s="6">
        <f t="shared" si="58"/>
        <v>0</v>
      </c>
      <c r="W79" s="2"/>
      <c r="X79" s="7">
        <f t="shared" si="59"/>
        <v>15.02</v>
      </c>
      <c r="Y79" s="2"/>
      <c r="Z79" s="6">
        <f t="shared" si="60"/>
        <v>0</v>
      </c>
    </row>
    <row r="80" spans="1:26" s="59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8" t="s">
        <v>293</v>
      </c>
      <c r="C81" s="10"/>
      <c r="D81" s="4">
        <f>SUM(OSRRefD25x_0)</f>
        <v>6782</v>
      </c>
      <c r="E81" s="4"/>
      <c r="F81" s="12">
        <f t="shared" ref="F81:F83" si="61">IF(D$12=0,0,D81/D$12)</f>
        <v>3.158826269212855</v>
      </c>
      <c r="G81" s="4"/>
      <c r="H81" s="4">
        <f>SUM(OSRRefH25x_0)</f>
        <v>6875</v>
      </c>
      <c r="I81" s="4"/>
      <c r="J81" s="12">
        <f t="shared" ref="J81:J83" si="62">IF(H$12=0,0,H81/H$12)</f>
        <v>0.26442307692307693</v>
      </c>
      <c r="K81" s="4"/>
      <c r="L81" s="4">
        <f t="shared" ref="L81:L83" si="63">+D81-H81</f>
        <v>-93</v>
      </c>
      <c r="M81" s="4"/>
      <c r="N81" s="12">
        <f t="shared" ref="N81:N83" si="64">IF(H81=0,0,L81/H81)</f>
        <v>-1.3527272727272728E-2</v>
      </c>
      <c r="O81" s="10"/>
      <c r="P81" s="4">
        <f>SUM(OSRRefP25x_0)</f>
        <v>61038</v>
      </c>
      <c r="Q81" s="4"/>
      <c r="R81" s="12">
        <f t="shared" ref="R81:R83" si="65">IF(P$12=0,0,P81/P$12)</f>
        <v>0.54991651427996369</v>
      </c>
      <c r="S81" s="4"/>
      <c r="T81" s="4">
        <f>SUM(OSRRefT25x_0)</f>
        <v>61875</v>
      </c>
      <c r="U81" s="4"/>
      <c r="V81" s="12">
        <f t="shared" ref="V81:V83" si="66">IF(T$12=0,0,T81/T$12)</f>
        <v>0.20473970345418629</v>
      </c>
      <c r="W81" s="4"/>
      <c r="X81" s="4">
        <f t="shared" ref="X81:X83" si="67">+P81-T81</f>
        <v>-837</v>
      </c>
      <c r="Y81" s="4"/>
      <c r="Z81" s="12">
        <f t="shared" ref="Z81:Z83" si="68">IF(T81=0,0,X81/T81)</f>
        <v>-1.3527272727272728E-2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--6782</f>
        <v>6782</v>
      </c>
      <c r="E82" s="2"/>
      <c r="F82" s="19">
        <f t="shared" si="61"/>
        <v>3.158826269212855</v>
      </c>
      <c r="G82" s="2"/>
      <c r="H82" s="2">
        <v>6875</v>
      </c>
      <c r="I82" s="2"/>
      <c r="J82" s="19">
        <f t="shared" si="62"/>
        <v>0.26442307692307693</v>
      </c>
      <c r="K82" s="2"/>
      <c r="L82" s="2">
        <f t="shared" si="63"/>
        <v>-93</v>
      </c>
      <c r="M82" s="2"/>
      <c r="N82" s="19">
        <f t="shared" si="64"/>
        <v>-1.3527272727272728E-2</v>
      </c>
      <c r="O82" s="11"/>
      <c r="P82" s="2">
        <f>--61038</f>
        <v>61038</v>
      </c>
      <c r="Q82" s="2"/>
      <c r="R82" s="19">
        <f t="shared" si="65"/>
        <v>0.54991651427996369</v>
      </c>
      <c r="S82" s="2"/>
      <c r="T82" s="2">
        <v>61875</v>
      </c>
      <c r="U82" s="2"/>
      <c r="V82" s="19">
        <f t="shared" si="66"/>
        <v>0.20473970345418629</v>
      </c>
      <c r="W82" s="2"/>
      <c r="X82" s="2">
        <f t="shared" si="67"/>
        <v>-837</v>
      </c>
      <c r="Y82" s="2"/>
      <c r="Z82" s="19">
        <f t="shared" si="68"/>
        <v>-1.3527272727272728E-2</v>
      </c>
    </row>
    <row r="83" spans="1:26" s="24" customFormat="1" hidden="1" outlineLevel="1" x14ac:dyDescent="0.25">
      <c r="A83" s="44"/>
      <c r="B83" s="11" t="str">
        <f>CONCATENATE("          ", "9163", " - ", "MISC. INCOME")</f>
        <v xml:space="preserve">          9163 - MISC. INCOME</v>
      </c>
      <c r="C83" s="11"/>
      <c r="D83" s="2">
        <f>0</f>
        <v>0</v>
      </c>
      <c r="E83" s="2"/>
      <c r="F83" s="19">
        <f t="shared" si="61"/>
        <v>0</v>
      </c>
      <c r="G83" s="2"/>
      <c r="H83" s="2"/>
      <c r="I83" s="2"/>
      <c r="J83" s="19">
        <f t="shared" si="62"/>
        <v>0</v>
      </c>
      <c r="K83" s="2"/>
      <c r="L83" s="2">
        <f t="shared" si="63"/>
        <v>0</v>
      </c>
      <c r="M83" s="2"/>
      <c r="N83" s="19">
        <f t="shared" si="64"/>
        <v>0</v>
      </c>
      <c r="O83" s="11"/>
      <c r="P83" s="2">
        <f>0</f>
        <v>0</v>
      </c>
      <c r="Q83" s="2"/>
      <c r="R83" s="19">
        <f t="shared" si="65"/>
        <v>0</v>
      </c>
      <c r="S83" s="2"/>
      <c r="T83" s="2"/>
      <c r="U83" s="2"/>
      <c r="V83" s="19">
        <f t="shared" si="66"/>
        <v>0</v>
      </c>
      <c r="W83" s="2"/>
      <c r="X83" s="2">
        <f t="shared" si="67"/>
        <v>0</v>
      </c>
      <c r="Y83" s="2"/>
      <c r="Z83" s="19">
        <f t="shared" si="68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277</v>
      </c>
      <c r="C85" s="29"/>
      <c r="D85" s="20">
        <f>+D30-D32+D81</f>
        <v>-10511.499999999989</v>
      </c>
      <c r="E85" s="14"/>
      <c r="F85" s="21">
        <f>IF(D$12=0,0,D85/D$12)</f>
        <v>-4.8959012575686955</v>
      </c>
      <c r="G85" s="14"/>
      <c r="H85" s="20">
        <f>+H30-H32+H81</f>
        <v>12591.328874507657</v>
      </c>
      <c r="I85" s="14"/>
      <c r="J85" s="21">
        <f>IF(H$12=0,0,H85/H$12)</f>
        <v>0.48428187978875603</v>
      </c>
      <c r="K85" s="16"/>
      <c r="L85" s="20">
        <f>+D85-H85</f>
        <v>-23102.828874507646</v>
      </c>
      <c r="M85" s="16"/>
      <c r="N85" s="21">
        <f>IF(H85=0,0,L85/H85)</f>
        <v>-1.8348205423560591</v>
      </c>
      <c r="O85" s="28"/>
      <c r="P85" s="20">
        <f>+P30-P32+P81</f>
        <v>-85231.88</v>
      </c>
      <c r="Q85" s="14"/>
      <c r="R85" s="21">
        <f>IF(P$12=0,0,P85/P$12)</f>
        <v>-0.7678891568388243</v>
      </c>
      <c r="S85" s="14"/>
      <c r="T85" s="20">
        <f>+T30-T32+T81</f>
        <v>85531.358449824736</v>
      </c>
      <c r="U85" s="14"/>
      <c r="V85" s="21">
        <f>IF(T$12=0,0,T85/T$12)</f>
        <v>0.28301680751597297</v>
      </c>
      <c r="W85" s="16"/>
      <c r="X85" s="20">
        <f>+P85-T85</f>
        <v>-170763.23844982474</v>
      </c>
      <c r="Y85" s="16"/>
      <c r="Z85" s="21">
        <f>IF(T85=0,0,X85/T85)</f>
        <v>-1.9964986122604329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128</v>
      </c>
      <c r="C87" s="10"/>
      <c r="D87" s="4">
        <v>1319.33</v>
      </c>
      <c r="E87" s="4"/>
      <c r="F87" s="12">
        <f>IF(D$12=0,0,D87/D$12)</f>
        <v>0.61449930135072195</v>
      </c>
      <c r="G87" s="4"/>
      <c r="H87" s="4">
        <v>5940</v>
      </c>
      <c r="I87" s="4"/>
      <c r="J87" s="12">
        <f>IF(H$12=0,0,H87/H$12)</f>
        <v>0.22846153846153847</v>
      </c>
      <c r="K87" s="4"/>
      <c r="L87" s="4">
        <f>+D87-H87</f>
        <v>-4620.67</v>
      </c>
      <c r="M87" s="4"/>
      <c r="N87" s="12">
        <f>IF(H87=0,0,L87/H87)</f>
        <v>-0.77789057239057235</v>
      </c>
      <c r="O87" s="10"/>
      <c r="P87" s="4">
        <v>22875.13</v>
      </c>
      <c r="Q87" s="4"/>
      <c r="R87" s="12">
        <f>IF(P$12=0,0,P87/P$12)</f>
        <v>0.20609147995185012</v>
      </c>
      <c r="S87" s="4"/>
      <c r="T87" s="4">
        <v>53442</v>
      </c>
      <c r="U87" s="4"/>
      <c r="V87" s="12">
        <f>IF(T$12=0,0,T87/T$12)</f>
        <v>0.1768355431434121</v>
      </c>
      <c r="W87" s="4"/>
      <c r="X87" s="4">
        <f>+P87-T87</f>
        <v>-30566.87</v>
      </c>
      <c r="Y87" s="4"/>
      <c r="Z87" s="12">
        <f>IF(T87=0,0,X87/T87)</f>
        <v>-0.57196343699711838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126</v>
      </c>
      <c r="C89" s="29"/>
      <c r="D89" s="34">
        <f>+D85-D87</f>
        <v>-11830.829999999989</v>
      </c>
      <c r="E89" s="14"/>
      <c r="F89" s="30">
        <f>IF(D$12=0,0,D89/D$12)</f>
        <v>-5.5104005589194172</v>
      </c>
      <c r="G89" s="14"/>
      <c r="H89" s="34">
        <f>+H85-H87</f>
        <v>6651.328874507657</v>
      </c>
      <c r="I89" s="14"/>
      <c r="J89" s="30">
        <f>IF(H$12=0,0,H89/H$12)</f>
        <v>0.25582034132721759</v>
      </c>
      <c r="K89" s="16"/>
      <c r="L89" s="34">
        <f>D89-H89</f>
        <v>-18482.158874507644</v>
      </c>
      <c r="M89" s="16"/>
      <c r="N89" s="30">
        <f>IF(H89=0,0,L89/H89)</f>
        <v>-2.778716738145913</v>
      </c>
      <c r="O89" s="28"/>
      <c r="P89" s="34">
        <f>+P85-P87</f>
        <v>-108107.01000000001</v>
      </c>
      <c r="Q89" s="14"/>
      <c r="R89" s="30">
        <f>IF(P$12=0,0,P89/P$12)</f>
        <v>-0.97398063679067437</v>
      </c>
      <c r="S89" s="14"/>
      <c r="T89" s="34">
        <f>+T85-T87</f>
        <v>32089.358449824736</v>
      </c>
      <c r="U89" s="14"/>
      <c r="V89" s="30">
        <f>IF(T$12=0,0,T89/T$12)</f>
        <v>0.10618126437256087</v>
      </c>
      <c r="W89" s="16"/>
      <c r="X89" s="34">
        <f>P89-T89</f>
        <v>-140196.36844982475</v>
      </c>
      <c r="Y89" s="16"/>
      <c r="Z89" s="30">
        <f>IF(T89=0,0,X89/T89)</f>
        <v>-4.3689364706071414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294</v>
      </c>
      <c r="C92" s="29"/>
      <c r="D92" s="31">
        <f>SUM(D89:D91)</f>
        <v>-11830.829999999989</v>
      </c>
      <c r="E92" s="14"/>
      <c r="F92" s="35">
        <f>IF(D$12=0,0,D92/D$12)</f>
        <v>-5.5104005589194172</v>
      </c>
      <c r="G92" s="14"/>
      <c r="H92" s="31">
        <f>SUM(H89:H91)</f>
        <v>6651.328874507657</v>
      </c>
      <c r="I92" s="14"/>
      <c r="J92" s="35">
        <f>IF(H$12=0,0,H92/H$12)</f>
        <v>0.25582034132721759</v>
      </c>
      <c r="K92" s="16"/>
      <c r="L92" s="31">
        <f>+D92-H92</f>
        <v>-18482.158874507644</v>
      </c>
      <c r="M92" s="16"/>
      <c r="N92" s="35">
        <f>IF(H92=0,0,L92/H92)</f>
        <v>-2.778716738145913</v>
      </c>
      <c r="O92" s="28"/>
      <c r="P92" s="31">
        <f>SUM(P89:P91)</f>
        <v>-108107.01000000001</v>
      </c>
      <c r="Q92" s="14"/>
      <c r="R92" s="35">
        <f>IF(P$12=0,0,P92/P$12)</f>
        <v>-0.97398063679067437</v>
      </c>
      <c r="S92" s="14"/>
      <c r="T92" s="31">
        <f>SUM(T89:T91)</f>
        <v>32089.358449824736</v>
      </c>
      <c r="U92" s="14"/>
      <c r="V92" s="35">
        <f>IF(T$12=0,0,T92/T$12)</f>
        <v>0.10618126437256087</v>
      </c>
      <c r="W92" s="16"/>
      <c r="X92" s="31">
        <f>+P92-T92</f>
        <v>-140196.36844982475</v>
      </c>
      <c r="Y92" s="16"/>
      <c r="Z92" s="35">
        <f>IF(T92=0,0,X92/T92)</f>
        <v>-4.3689364706071414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>
        <v>44295.961760069447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3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4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2147</v>
      </c>
      <c r="E12" s="4"/>
      <c r="F12" s="12"/>
      <c r="G12" s="4"/>
      <c r="H12" s="4">
        <f>SUM(OSRRefH13x_0)</f>
        <v>26000</v>
      </c>
      <c r="I12" s="4"/>
      <c r="J12" s="12"/>
      <c r="K12" s="4"/>
      <c r="L12" s="4">
        <f t="shared" ref="L12:L24" si="0">+D12-H12</f>
        <v>-23853</v>
      </c>
      <c r="M12" s="4"/>
      <c r="N12" s="12">
        <f t="shared" ref="N12:N24" si="1">IF(H12=0,0,L12/H12)</f>
        <v>-0.9174230769230769</v>
      </c>
      <c r="O12" s="10"/>
      <c r="P12" s="4">
        <f>SUM(OSRRefP13x_0)</f>
        <v>110995.03</v>
      </c>
      <c r="Q12" s="4"/>
      <c r="R12" s="12"/>
      <c r="S12" s="4"/>
      <c r="T12" s="4">
        <f>SUM(OSRRefT13x_0)</f>
        <v>302213</v>
      </c>
      <c r="U12" s="4"/>
      <c r="V12" s="12"/>
      <c r="W12" s="4"/>
      <c r="X12" s="4">
        <f t="shared" ref="X12:X24" si="2">+P12-T12</f>
        <v>-191217.97</v>
      </c>
      <c r="Y12" s="4"/>
      <c r="Z12" s="12">
        <f t="shared" ref="Z12:Z24" si="3">IF(T12=0,0,X12/T12)</f>
        <v>-0.63272582582483217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12000</v>
      </c>
      <c r="I13" s="2"/>
      <c r="J13" s="19"/>
      <c r="K13" s="2"/>
      <c r="L13" s="2">
        <f t="shared" si="0"/>
        <v>-12000</v>
      </c>
      <c r="M13" s="2"/>
      <c r="N13" s="19">
        <f t="shared" si="1"/>
        <v>-1</v>
      </c>
      <c r="O13" s="11"/>
      <c r="P13" s="2">
        <f>-9.28</f>
        <v>-9.2799999999999994</v>
      </c>
      <c r="Q13" s="2"/>
      <c r="R13" s="19"/>
      <c r="S13" s="2"/>
      <c r="T13" s="2">
        <v>223713</v>
      </c>
      <c r="U13" s="2"/>
      <c r="V13" s="19"/>
      <c r="W13" s="2"/>
      <c r="X13" s="2">
        <f t="shared" si="2"/>
        <v>-223722.28</v>
      </c>
      <c r="Y13" s="2"/>
      <c r="Z13" s="19">
        <f t="shared" si="3"/>
        <v>-1.0000414817198822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--591.75</f>
        <v>591.75</v>
      </c>
      <c r="E14" s="2"/>
      <c r="F14" s="19"/>
      <c r="G14" s="2"/>
      <c r="H14" s="2"/>
      <c r="I14" s="2"/>
      <c r="J14" s="19"/>
      <c r="K14" s="2"/>
      <c r="L14" s="2">
        <f t="shared" si="0"/>
        <v>591.75</v>
      </c>
      <c r="M14" s="2"/>
      <c r="N14" s="19">
        <f t="shared" si="1"/>
        <v>0</v>
      </c>
      <c r="O14" s="11"/>
      <c r="P14" s="2">
        <f>--92657.97</f>
        <v>92657.97</v>
      </c>
      <c r="Q14" s="2"/>
      <c r="R14" s="19"/>
      <c r="S14" s="2"/>
      <c r="T14" s="2"/>
      <c r="U14" s="2"/>
      <c r="V14" s="19"/>
      <c r="W14" s="2"/>
      <c r="X14" s="2">
        <f t="shared" si="2"/>
        <v>92657.97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--671.32</f>
        <v>671.32</v>
      </c>
      <c r="E15" s="2"/>
      <c r="F15" s="19"/>
      <c r="G15" s="2"/>
      <c r="H15" s="2"/>
      <c r="I15" s="2"/>
      <c r="J15" s="19"/>
      <c r="K15" s="2"/>
      <c r="L15" s="2">
        <f t="shared" si="0"/>
        <v>671.32</v>
      </c>
      <c r="M15" s="2"/>
      <c r="N15" s="19">
        <f t="shared" si="1"/>
        <v>0</v>
      </c>
      <c r="O15" s="11"/>
      <c r="P15" s="2">
        <f>--15819.95</f>
        <v>15819.95</v>
      </c>
      <c r="Q15" s="2"/>
      <c r="R15" s="19"/>
      <c r="S15" s="2"/>
      <c r="T15" s="2"/>
      <c r="U15" s="2"/>
      <c r="V15" s="19"/>
      <c r="W15" s="2"/>
      <c r="X15" s="2">
        <f t="shared" si="2"/>
        <v>15819.95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--14.9</f>
        <v>14.9</v>
      </c>
      <c r="E16" s="2"/>
      <c r="F16" s="19"/>
      <c r="G16" s="2"/>
      <c r="H16" s="2"/>
      <c r="I16" s="2"/>
      <c r="J16" s="19"/>
      <c r="K16" s="2"/>
      <c r="L16" s="2">
        <f t="shared" si="0"/>
        <v>14.9</v>
      </c>
      <c r="M16" s="2"/>
      <c r="N16" s="19">
        <f t="shared" si="1"/>
        <v>0</v>
      </c>
      <c r="O16" s="11"/>
      <c r="P16" s="2">
        <f>--52.68</f>
        <v>52.68</v>
      </c>
      <c r="Q16" s="2"/>
      <c r="R16" s="19"/>
      <c r="S16" s="2"/>
      <c r="T16" s="2"/>
      <c r="U16" s="2"/>
      <c r="V16" s="19"/>
      <c r="W16" s="2"/>
      <c r="X16" s="2">
        <f t="shared" si="2"/>
        <v>52.68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--775.28</f>
        <v>775.28</v>
      </c>
      <c r="E17" s="2"/>
      <c r="F17" s="19"/>
      <c r="G17" s="2"/>
      <c r="H17" s="2"/>
      <c r="I17" s="2"/>
      <c r="J17" s="19"/>
      <c r="K17" s="2"/>
      <c r="L17" s="2">
        <f t="shared" si="0"/>
        <v>775.28</v>
      </c>
      <c r="M17" s="2"/>
      <c r="N17" s="19">
        <f t="shared" si="1"/>
        <v>0</v>
      </c>
      <c r="O17" s="11"/>
      <c r="P17" s="2">
        <f>--915.13</f>
        <v>915.13</v>
      </c>
      <c r="Q17" s="2"/>
      <c r="R17" s="19"/>
      <c r="S17" s="2"/>
      <c r="T17" s="2"/>
      <c r="U17" s="2"/>
      <c r="V17" s="19"/>
      <c r="W17" s="2"/>
      <c r="X17" s="2">
        <f t="shared" si="2"/>
        <v>915.13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20" si="4">0</f>
        <v>0</v>
      </c>
      <c r="E18" s="2"/>
      <c r="F18" s="19"/>
      <c r="G18" s="2"/>
      <c r="H18" s="2">
        <v>14000</v>
      </c>
      <c r="I18" s="2"/>
      <c r="J18" s="19"/>
      <c r="K18" s="2"/>
      <c r="L18" s="2">
        <f t="shared" si="0"/>
        <v>-14000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78500</v>
      </c>
      <c r="U18" s="2"/>
      <c r="V18" s="19"/>
      <c r="W18" s="2"/>
      <c r="X18" s="2">
        <f t="shared" si="2"/>
        <v>-78500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--1278.64</f>
        <v>1278.6400000000001</v>
      </c>
      <c r="Q19" s="2"/>
      <c r="R19" s="19"/>
      <c r="S19" s="2"/>
      <c r="T19" s="2"/>
      <c r="U19" s="2"/>
      <c r="V19" s="19"/>
      <c r="W19" s="2"/>
      <c r="X19" s="2">
        <f t="shared" si="2"/>
        <v>1278.6400000000001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--1110.59</f>
        <v>1110.5899999999999</v>
      </c>
      <c r="Q20" s="2"/>
      <c r="R20" s="19"/>
      <c r="S20" s="2"/>
      <c r="T20" s="2"/>
      <c r="U20" s="2"/>
      <c r="V20" s="19"/>
      <c r="W20" s="2"/>
      <c r="X20" s="2">
        <f t="shared" si="2"/>
        <v>1110.5899999999999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--90.7</f>
        <v>90.7</v>
      </c>
      <c r="E21" s="2"/>
      <c r="F21" s="19"/>
      <c r="G21" s="2"/>
      <c r="H21" s="2"/>
      <c r="I21" s="2"/>
      <c r="J21" s="19"/>
      <c r="K21" s="2"/>
      <c r="L21" s="2">
        <f t="shared" si="0"/>
        <v>90.7</v>
      </c>
      <c r="M21" s="2"/>
      <c r="N21" s="19">
        <f t="shared" si="1"/>
        <v>0</v>
      </c>
      <c r="O21" s="11"/>
      <c r="P21" s="2">
        <f>--299.1</f>
        <v>299.10000000000002</v>
      </c>
      <c r="Q21" s="2"/>
      <c r="R21" s="19"/>
      <c r="S21" s="2"/>
      <c r="T21" s="2"/>
      <c r="U21" s="2"/>
      <c r="V21" s="19"/>
      <c r="W21" s="2"/>
      <c r="X21" s="2">
        <f t="shared" si="2"/>
        <v>299.10000000000002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</f>
        <v>11</v>
      </c>
      <c r="E22" s="2"/>
      <c r="F22" s="19"/>
      <c r="G22" s="2"/>
      <c r="H22" s="2"/>
      <c r="I22" s="2"/>
      <c r="J22" s="19"/>
      <c r="K22" s="2"/>
      <c r="L22" s="2">
        <f t="shared" si="0"/>
        <v>11</v>
      </c>
      <c r="M22" s="2"/>
      <c r="N22" s="19">
        <f t="shared" si="1"/>
        <v>0</v>
      </c>
      <c r="O22" s="11"/>
      <c r="P22" s="2">
        <f>--143.5</f>
        <v>143.5</v>
      </c>
      <c r="Q22" s="2"/>
      <c r="R22" s="19"/>
      <c r="S22" s="2"/>
      <c r="T22" s="2"/>
      <c r="U22" s="2"/>
      <c r="V22" s="19"/>
      <c r="W22" s="2"/>
      <c r="X22" s="2">
        <f t="shared" si="2"/>
        <v>143.5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-7.95</f>
        <v>-7.95</v>
      </c>
      <c r="E23" s="2"/>
      <c r="F23" s="19"/>
      <c r="G23" s="2"/>
      <c r="H23" s="2"/>
      <c r="I23" s="2"/>
      <c r="J23" s="19"/>
      <c r="K23" s="2"/>
      <c r="L23" s="2">
        <f t="shared" si="0"/>
        <v>-7.95</v>
      </c>
      <c r="M23" s="2"/>
      <c r="N23" s="19">
        <f t="shared" si="1"/>
        <v>0</v>
      </c>
      <c r="O23" s="11"/>
      <c r="P23" s="2">
        <f>-1262.05</f>
        <v>-1262.05</v>
      </c>
      <c r="Q23" s="2"/>
      <c r="R23" s="19"/>
      <c r="S23" s="2"/>
      <c r="T23" s="2"/>
      <c r="U23" s="2"/>
      <c r="V23" s="19"/>
      <c r="W23" s="2"/>
      <c r="X23" s="2">
        <f t="shared" si="2"/>
        <v>-1262.05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-11.2</f>
        <v>-11.2</v>
      </c>
      <c r="Q24" s="2"/>
      <c r="R24" s="19"/>
      <c r="S24" s="2"/>
      <c r="T24" s="2"/>
      <c r="U24" s="2"/>
      <c r="V24" s="19"/>
      <c r="W24" s="2"/>
      <c r="X24" s="2">
        <f t="shared" si="2"/>
        <v>-11.2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257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108</v>
      </c>
      <c r="C28" s="29"/>
      <c r="D28" s="20">
        <f>D12-D26</f>
        <v>2147</v>
      </c>
      <c r="E28" s="14"/>
      <c r="F28" s="21">
        <f>IF(D$12=0,0,D28/D$12)</f>
        <v>1</v>
      </c>
      <c r="G28" s="14"/>
      <c r="H28" s="20">
        <f>H12-H26</f>
        <v>26000</v>
      </c>
      <c r="I28" s="14"/>
      <c r="J28" s="21">
        <f>IF(H$12=0,0,H28/H$12)</f>
        <v>1</v>
      </c>
      <c r="K28" s="16"/>
      <c r="L28" s="20">
        <f>+D28-H28</f>
        <v>-23853</v>
      </c>
      <c r="M28" s="16"/>
      <c r="N28" s="21">
        <f>IF(H28=0,0,L28/H28)</f>
        <v>-0.9174230769230769</v>
      </c>
      <c r="O28" s="28"/>
      <c r="P28" s="20">
        <f>P12-P26</f>
        <v>110995.03</v>
      </c>
      <c r="Q28" s="14"/>
      <c r="R28" s="21">
        <f>IF(P$12=0,0,P28/P$12)</f>
        <v>1</v>
      </c>
      <c r="S28" s="14"/>
      <c r="T28" s="20">
        <f>T12-T26</f>
        <v>302213</v>
      </c>
      <c r="U28" s="14"/>
      <c r="V28" s="21">
        <f>IF(T$12=0,0,T28/T$12)</f>
        <v>1</v>
      </c>
      <c r="W28" s="16"/>
      <c r="X28" s="20">
        <f>+P28-T28</f>
        <v>-191217.97</v>
      </c>
      <c r="Y28" s="16"/>
      <c r="Z28" s="21">
        <f>IF(T28=0,0,X28/T28)</f>
        <v>-0.63272582582483217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295</v>
      </c>
      <c r="C30" s="10"/>
      <c r="D30" s="22">
        <f>SUM(OSRRefD22x_0)</f>
        <v>19440.499999999989</v>
      </c>
      <c r="E30" s="22"/>
      <c r="F30" s="32">
        <f t="shared" ref="F30:F40" si="5">IF(D$12=0,0,D30/D$12)</f>
        <v>9.0547275267815515</v>
      </c>
      <c r="G30" s="22"/>
      <c r="H30" s="22">
        <f>SUM(OSRRefH22x_0)</f>
        <v>20283.671125492343</v>
      </c>
      <c r="I30" s="22"/>
      <c r="J30" s="32">
        <f t="shared" ref="J30:J40" si="6">IF(H$12=0,0,H30/H$12)</f>
        <v>0.78014119713432084</v>
      </c>
      <c r="K30" s="4"/>
      <c r="L30" s="22">
        <f t="shared" ref="L30:L40" si="7">+D30-H30</f>
        <v>-843.17112549235389</v>
      </c>
      <c r="M30" s="4"/>
      <c r="N30" s="32">
        <f t="shared" ref="N30:N40" si="8">IF(H30=0,0,L30/H30)</f>
        <v>-4.1568960582912609E-2</v>
      </c>
      <c r="O30" s="10"/>
      <c r="P30" s="22">
        <f>SUM(OSRRefP22x_0)</f>
        <v>257264.91</v>
      </c>
      <c r="Q30" s="22"/>
      <c r="R30" s="32">
        <f t="shared" ref="R30:R40" si="9">IF(P$12=0,0,P30/P$12)</f>
        <v>2.317805671118788</v>
      </c>
      <c r="S30" s="22"/>
      <c r="T30" s="22">
        <f>SUM(OSRRefT22x_0)</f>
        <v>278556.64155017526</v>
      </c>
      <c r="U30" s="22"/>
      <c r="V30" s="32">
        <f t="shared" ref="V30:V40" si="10">IF(T$12=0,0,T30/T$12)</f>
        <v>0.92172289593821333</v>
      </c>
      <c r="W30" s="4"/>
      <c r="X30" s="22">
        <f t="shared" ref="X30:X40" si="11">+P30-T30</f>
        <v>-21291.73155017526</v>
      </c>
      <c r="Y30" s="4"/>
      <c r="Z30" s="32">
        <f t="shared" ref="Z30:Z40" si="12">IF(T30=0,0,X30/T30)</f>
        <v>-7.6435914188533419E-2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8898.1500000000015</v>
      </c>
      <c r="E31" s="1"/>
      <c r="F31" s="5">
        <f t="shared" si="5"/>
        <v>4.1444573823940392</v>
      </c>
      <c r="G31" s="1"/>
      <c r="H31" s="1">
        <f>SUM(OSRRefH22_0x_0)</f>
        <v>6345.1625639538433</v>
      </c>
      <c r="I31" s="1"/>
      <c r="J31" s="5">
        <f t="shared" si="6"/>
        <v>0.24404471399822475</v>
      </c>
      <c r="K31" s="1"/>
      <c r="L31" s="1">
        <f t="shared" si="7"/>
        <v>2552.9874360461581</v>
      </c>
      <c r="M31" s="1"/>
      <c r="N31" s="5">
        <f t="shared" si="8"/>
        <v>0.40235177748626855</v>
      </c>
      <c r="O31" s="13"/>
      <c r="P31" s="1">
        <f>SUM(OSRRefP22_0x_0)</f>
        <v>84386.12000000001</v>
      </c>
      <c r="Q31" s="1"/>
      <c r="R31" s="5">
        <f t="shared" si="9"/>
        <v>0.76026935620450764</v>
      </c>
      <c r="S31" s="1"/>
      <c r="T31" s="1">
        <f>SUM(OSRRefT22_0x_0)</f>
        <v>60351.933075175002</v>
      </c>
      <c r="U31" s="1"/>
      <c r="V31" s="5">
        <f t="shared" si="10"/>
        <v>0.19969998999108246</v>
      </c>
      <c r="W31" s="1"/>
      <c r="X31" s="1">
        <f t="shared" si="11"/>
        <v>24034.186924825008</v>
      </c>
      <c r="Y31" s="1"/>
      <c r="Z31" s="5">
        <f t="shared" si="12"/>
        <v>0.39823392060843804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7">
        <v>1213.6400000000001</v>
      </c>
      <c r="E32" s="2"/>
      <c r="F32" s="6">
        <f t="shared" si="5"/>
        <v>0.56527247321844443</v>
      </c>
      <c r="G32" s="2"/>
      <c r="H32" s="7">
        <v>1005.53020137692</v>
      </c>
      <c r="I32" s="2"/>
      <c r="J32" s="6">
        <f t="shared" si="6"/>
        <v>3.8674238514496924E-2</v>
      </c>
      <c r="K32" s="2"/>
      <c r="L32" s="7">
        <f t="shared" si="7"/>
        <v>208.10979862308011</v>
      </c>
      <c r="M32" s="2"/>
      <c r="N32" s="6">
        <f t="shared" si="8"/>
        <v>0.20696523917243415</v>
      </c>
      <c r="O32" s="11"/>
      <c r="P32" s="7">
        <v>11467.69</v>
      </c>
      <c r="Q32" s="2"/>
      <c r="R32" s="6">
        <f t="shared" si="9"/>
        <v>0.10331714852457809</v>
      </c>
      <c r="S32" s="2"/>
      <c r="T32" s="7">
        <v>10185.593705925001</v>
      </c>
      <c r="U32" s="2"/>
      <c r="V32" s="6">
        <f t="shared" si="10"/>
        <v>3.3703360563327851E-2</v>
      </c>
      <c r="W32" s="2"/>
      <c r="X32" s="7">
        <f t="shared" si="11"/>
        <v>1282.0962940749996</v>
      </c>
      <c r="Y32" s="2"/>
      <c r="Z32" s="6">
        <f t="shared" si="12"/>
        <v>0.12587349653748697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7">
        <v>311.66000000000003</v>
      </c>
      <c r="E33" s="2"/>
      <c r="F33" s="6">
        <f t="shared" si="5"/>
        <v>0.14516068933395437</v>
      </c>
      <c r="G33" s="2"/>
      <c r="H33" s="7">
        <v>267.183439423077</v>
      </c>
      <c r="I33" s="2"/>
      <c r="J33" s="6">
        <f t="shared" si="6"/>
        <v>1.0276286131656808E-2</v>
      </c>
      <c r="K33" s="2"/>
      <c r="L33" s="7">
        <f t="shared" si="7"/>
        <v>44.476560576923021</v>
      </c>
      <c r="M33" s="2"/>
      <c r="N33" s="6">
        <f t="shared" si="8"/>
        <v>0.16646451094783504</v>
      </c>
      <c r="O33" s="11"/>
      <c r="P33" s="7">
        <v>3030.26</v>
      </c>
      <c r="Q33" s="2"/>
      <c r="R33" s="6">
        <f t="shared" si="9"/>
        <v>2.7300862029588174E-2</v>
      </c>
      <c r="S33" s="2"/>
      <c r="T33" s="7">
        <v>2664.81080875</v>
      </c>
      <c r="U33" s="2"/>
      <c r="V33" s="6">
        <f t="shared" si="10"/>
        <v>8.8176577736563278E-3</v>
      </c>
      <c r="W33" s="2"/>
      <c r="X33" s="7">
        <f t="shared" si="11"/>
        <v>365.44919125000024</v>
      </c>
      <c r="Y33" s="2"/>
      <c r="Z33" s="6">
        <f t="shared" si="12"/>
        <v>0.13713888807792093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7">
        <v>3421.48</v>
      </c>
      <c r="E34" s="2"/>
      <c r="F34" s="6">
        <f t="shared" si="5"/>
        <v>1.5936096879366559</v>
      </c>
      <c r="G34" s="2"/>
      <c r="H34" s="7">
        <v>2645</v>
      </c>
      <c r="I34" s="2"/>
      <c r="J34" s="6">
        <f t="shared" si="6"/>
        <v>0.10173076923076924</v>
      </c>
      <c r="K34" s="2"/>
      <c r="L34" s="7">
        <f t="shared" si="7"/>
        <v>776.48</v>
      </c>
      <c r="M34" s="2"/>
      <c r="N34" s="6">
        <f t="shared" si="8"/>
        <v>0.29356521739130437</v>
      </c>
      <c r="O34" s="11"/>
      <c r="P34" s="7">
        <v>32635.77</v>
      </c>
      <c r="Q34" s="2"/>
      <c r="R34" s="6">
        <f t="shared" si="9"/>
        <v>0.2940291110331697</v>
      </c>
      <c r="S34" s="2"/>
      <c r="T34" s="7">
        <v>23805</v>
      </c>
      <c r="U34" s="2"/>
      <c r="V34" s="6">
        <f t="shared" si="10"/>
        <v>7.8768947728919667E-2</v>
      </c>
      <c r="W34" s="2"/>
      <c r="X34" s="7">
        <f t="shared" si="11"/>
        <v>8830.77</v>
      </c>
      <c r="Y34" s="2"/>
      <c r="Z34" s="6">
        <f t="shared" si="12"/>
        <v>0.37096282293635791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43.8</v>
      </c>
      <c r="E35" s="2"/>
      <c r="F35" s="6">
        <f t="shared" si="5"/>
        <v>2.0400558919422447E-2</v>
      </c>
      <c r="G35" s="2"/>
      <c r="H35" s="7">
        <v>42.222617</v>
      </c>
      <c r="I35" s="2"/>
      <c r="J35" s="6">
        <f t="shared" si="6"/>
        <v>1.6239468076923076E-3</v>
      </c>
      <c r="K35" s="2"/>
      <c r="L35" s="7">
        <f t="shared" si="7"/>
        <v>1.5773829999999975</v>
      </c>
      <c r="M35" s="2"/>
      <c r="N35" s="6">
        <f t="shared" si="8"/>
        <v>3.7358721748583172E-2</v>
      </c>
      <c r="O35" s="11"/>
      <c r="P35" s="7">
        <v>425.86</v>
      </c>
      <c r="Q35" s="2"/>
      <c r="R35" s="6">
        <f t="shared" si="9"/>
        <v>3.8367483661205372E-3</v>
      </c>
      <c r="S35" s="2"/>
      <c r="T35" s="7">
        <v>410.45957550000003</v>
      </c>
      <c r="U35" s="2"/>
      <c r="V35" s="6">
        <f t="shared" si="10"/>
        <v>1.3581797457422416E-3</v>
      </c>
      <c r="W35" s="2"/>
      <c r="X35" s="7">
        <f t="shared" si="11"/>
        <v>15.400424499999986</v>
      </c>
      <c r="Y35" s="2"/>
      <c r="Z35" s="6">
        <f t="shared" si="12"/>
        <v>3.7519954264046605E-2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7">
        <v>1614.45</v>
      </c>
      <c r="E36" s="2"/>
      <c r="F36" s="6">
        <f t="shared" si="5"/>
        <v>0.75195621797857481</v>
      </c>
      <c r="G36" s="2"/>
      <c r="H36" s="7">
        <v>991.92684461538499</v>
      </c>
      <c r="I36" s="2"/>
      <c r="J36" s="6">
        <f t="shared" si="6"/>
        <v>3.8151032485207112E-2</v>
      </c>
      <c r="K36" s="2"/>
      <c r="L36" s="7">
        <f t="shared" si="7"/>
        <v>622.52315538461505</v>
      </c>
      <c r="M36" s="2"/>
      <c r="N36" s="6">
        <f t="shared" si="8"/>
        <v>0.62758978523864384</v>
      </c>
      <c r="O36" s="11"/>
      <c r="P36" s="7">
        <v>15714.79</v>
      </c>
      <c r="Q36" s="2"/>
      <c r="R36" s="6">
        <f t="shared" si="9"/>
        <v>0.14158102394314412</v>
      </c>
      <c r="S36" s="2"/>
      <c r="T36" s="7">
        <v>9671.2867349999997</v>
      </c>
      <c r="U36" s="2"/>
      <c r="V36" s="6">
        <f t="shared" si="10"/>
        <v>3.2001557626574632E-2</v>
      </c>
      <c r="W36" s="2"/>
      <c r="X36" s="7">
        <f t="shared" si="11"/>
        <v>6043.5032650000012</v>
      </c>
      <c r="Y36" s="2"/>
      <c r="Z36" s="6">
        <f t="shared" si="12"/>
        <v>0.62489133355221538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5"/>
        <v>0</v>
      </c>
      <c r="G37" s="2"/>
      <c r="H37" s="7">
        <v>0</v>
      </c>
      <c r="I37" s="2"/>
      <c r="J37" s="6">
        <f t="shared" si="6"/>
        <v>0</v>
      </c>
      <c r="K37" s="2"/>
      <c r="L37" s="7">
        <f t="shared" si="7"/>
        <v>0</v>
      </c>
      <c r="M37" s="2"/>
      <c r="N37" s="6">
        <f t="shared" si="8"/>
        <v>0</v>
      </c>
      <c r="O37" s="11"/>
      <c r="P37" s="7"/>
      <c r="Q37" s="2"/>
      <c r="R37" s="6">
        <f t="shared" si="9"/>
        <v>0</v>
      </c>
      <c r="S37" s="2"/>
      <c r="T37" s="7">
        <v>0</v>
      </c>
      <c r="U37" s="2"/>
      <c r="V37" s="6">
        <f t="shared" si="10"/>
        <v>0</v>
      </c>
      <c r="W37" s="2"/>
      <c r="X37" s="7">
        <f t="shared" si="11"/>
        <v>0</v>
      </c>
      <c r="Y37" s="2"/>
      <c r="Z37" s="6">
        <f t="shared" si="12"/>
        <v>0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>
        <v>1216.0999999999999</v>
      </c>
      <c r="E38" s="2"/>
      <c r="F38" s="6">
        <f t="shared" si="5"/>
        <v>0.56641825803446666</v>
      </c>
      <c r="G38" s="2"/>
      <c r="H38" s="7">
        <v>956.61308461538499</v>
      </c>
      <c r="I38" s="2"/>
      <c r="J38" s="6">
        <f t="shared" si="6"/>
        <v>3.679281094674558E-2</v>
      </c>
      <c r="K38" s="2"/>
      <c r="L38" s="7">
        <f t="shared" si="7"/>
        <v>259.48691538461492</v>
      </c>
      <c r="M38" s="2"/>
      <c r="N38" s="6">
        <f t="shared" si="8"/>
        <v>0.2712558709030663</v>
      </c>
      <c r="O38" s="11"/>
      <c r="P38" s="7">
        <v>11315.73</v>
      </c>
      <c r="Q38" s="2"/>
      <c r="R38" s="6">
        <f t="shared" si="9"/>
        <v>0.10194807821575434</v>
      </c>
      <c r="S38" s="2"/>
      <c r="T38" s="7">
        <v>9326.9775750000008</v>
      </c>
      <c r="U38" s="2"/>
      <c r="V38" s="6">
        <f t="shared" si="10"/>
        <v>3.0862264611383364E-2</v>
      </c>
      <c r="W38" s="2"/>
      <c r="X38" s="7">
        <f t="shared" si="11"/>
        <v>1988.7524249999988</v>
      </c>
      <c r="Y38" s="2"/>
      <c r="Z38" s="6">
        <f t="shared" si="12"/>
        <v>0.21322581822547146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>
        <v>738.5</v>
      </c>
      <c r="E39" s="2"/>
      <c r="F39" s="6">
        <f t="shared" si="5"/>
        <v>0.34396832789939452</v>
      </c>
      <c r="G39" s="2"/>
      <c r="H39" s="7">
        <v>436.68637692307698</v>
      </c>
      <c r="I39" s="2"/>
      <c r="J39" s="6">
        <f t="shared" si="6"/>
        <v>1.6795629881656806E-2</v>
      </c>
      <c r="K39" s="2"/>
      <c r="L39" s="7">
        <f t="shared" si="7"/>
        <v>301.81362307692302</v>
      </c>
      <c r="M39" s="2"/>
      <c r="N39" s="6">
        <f t="shared" si="8"/>
        <v>0.69114503915492653</v>
      </c>
      <c r="O39" s="11"/>
      <c r="P39" s="7">
        <v>6909.77</v>
      </c>
      <c r="Q39" s="2"/>
      <c r="R39" s="6">
        <f t="shared" si="9"/>
        <v>6.2252967542780972E-2</v>
      </c>
      <c r="S39" s="2"/>
      <c r="T39" s="7">
        <v>4287.8046750000003</v>
      </c>
      <c r="U39" s="2"/>
      <c r="V39" s="6">
        <f t="shared" si="10"/>
        <v>1.4188021941478363E-2</v>
      </c>
      <c r="W39" s="2"/>
      <c r="X39" s="7">
        <f t="shared" si="11"/>
        <v>2621.9653250000001</v>
      </c>
      <c r="Y39" s="2"/>
      <c r="Z39" s="6">
        <f t="shared" si="12"/>
        <v>0.6114936485533824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7">
        <v>338.52</v>
      </c>
      <c r="E40" s="2"/>
      <c r="F40" s="6">
        <f t="shared" si="5"/>
        <v>0.15767116907312528</v>
      </c>
      <c r="G40" s="2"/>
      <c r="H40" s="7"/>
      <c r="I40" s="2"/>
      <c r="J40" s="6">
        <f t="shared" si="6"/>
        <v>0</v>
      </c>
      <c r="K40" s="2"/>
      <c r="L40" s="7">
        <f t="shared" si="7"/>
        <v>338.52</v>
      </c>
      <c r="M40" s="2"/>
      <c r="N40" s="6">
        <f t="shared" si="8"/>
        <v>0</v>
      </c>
      <c r="O40" s="11"/>
      <c r="P40" s="7">
        <v>2886.25</v>
      </c>
      <c r="Q40" s="2"/>
      <c r="R40" s="6">
        <f t="shared" si="9"/>
        <v>2.6003416549371626E-2</v>
      </c>
      <c r="S40" s="2"/>
      <c r="T40" s="7"/>
      <c r="U40" s="2"/>
      <c r="V40" s="6">
        <f t="shared" si="10"/>
        <v>0</v>
      </c>
      <c r="W40" s="2"/>
      <c r="X40" s="7">
        <f t="shared" si="11"/>
        <v>2886.25</v>
      </c>
      <c r="Y40" s="2"/>
      <c r="Z40" s="6">
        <f t="shared" si="12"/>
        <v>0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14970.33</v>
      </c>
      <c r="E41" s="1"/>
      <c r="F41" s="5">
        <f t="shared" ref="F41:F51" si="13">IF(D$12=0,0,D41/D$12)</f>
        <v>6.9726734979040526</v>
      </c>
      <c r="G41" s="1"/>
      <c r="H41" s="1">
        <f>SUM(OSRRefH22_1x_0)</f>
        <v>10197.5085615385</v>
      </c>
      <c r="I41" s="1"/>
      <c r="J41" s="5">
        <f t="shared" ref="J41:J51" si="14">IF(H$12=0,0,H41/H$12)</f>
        <v>0.39221186775148076</v>
      </c>
      <c r="K41" s="1"/>
      <c r="L41" s="1">
        <f t="shared" ref="L41:L51" si="15">+D41-H41</f>
        <v>4772.8214384615003</v>
      </c>
      <c r="M41" s="1"/>
      <c r="N41" s="5">
        <f t="shared" ref="N41:N51" si="16">IF(H41=0,0,L41/H41)</f>
        <v>0.46803799277628888</v>
      </c>
      <c r="O41" s="13"/>
      <c r="P41" s="1">
        <f>SUM(OSRRefP22_1x_0)</f>
        <v>138818.57</v>
      </c>
      <c r="Q41" s="1"/>
      <c r="R41" s="5">
        <f t="shared" ref="R41:R51" si="17">IF(P$12=0,0,P41/P$12)</f>
        <v>1.2506737463830588</v>
      </c>
      <c r="S41" s="1"/>
      <c r="T41" s="1">
        <f>SUM(OSRRefT22_1x_0)</f>
        <v>99425.708475000298</v>
      </c>
      <c r="U41" s="1"/>
      <c r="V41" s="5">
        <f t="shared" ref="V41:V51" si="18">IF(T$12=0,0,T41/T$12)</f>
        <v>0.32899216272959897</v>
      </c>
      <c r="W41" s="1"/>
      <c r="X41" s="1">
        <f t="shared" ref="X41:X51" si="19">+P41-T41</f>
        <v>39392.861524999709</v>
      </c>
      <c r="Y41" s="1"/>
      <c r="Z41" s="5">
        <f t="shared" ref="Z41:Z51" si="20">IF(T41=0,0,X41/T41)</f>
        <v>0.39620398113536892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3"/>
        <v>0</v>
      </c>
      <c r="G42" s="2"/>
      <c r="H42" s="7">
        <v>0</v>
      </c>
      <c r="I42" s="2"/>
      <c r="J42" s="6">
        <f t="shared" si="14"/>
        <v>0</v>
      </c>
      <c r="K42" s="2"/>
      <c r="L42" s="7">
        <f t="shared" si="15"/>
        <v>0</v>
      </c>
      <c r="M42" s="2"/>
      <c r="N42" s="6">
        <f t="shared" si="16"/>
        <v>0</v>
      </c>
      <c r="O42" s="11"/>
      <c r="P42" s="7"/>
      <c r="Q42" s="2"/>
      <c r="R42" s="6">
        <f t="shared" si="17"/>
        <v>0</v>
      </c>
      <c r="S42" s="2"/>
      <c r="T42" s="7">
        <v>0</v>
      </c>
      <c r="U42" s="2"/>
      <c r="V42" s="6">
        <f t="shared" si="18"/>
        <v>0</v>
      </c>
      <c r="W42" s="2"/>
      <c r="X42" s="7">
        <f t="shared" si="19"/>
        <v>0</v>
      </c>
      <c r="Y42" s="2"/>
      <c r="Z42" s="6">
        <f t="shared" si="20"/>
        <v>0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7">
        <v>14462.41</v>
      </c>
      <c r="E43" s="2"/>
      <c r="F43" s="6">
        <f t="shared" si="13"/>
        <v>6.7361015370284116</v>
      </c>
      <c r="G43" s="2"/>
      <c r="H43" s="7">
        <v>10197.5085615385</v>
      </c>
      <c r="I43" s="2"/>
      <c r="J43" s="6">
        <f t="shared" si="14"/>
        <v>0.39221186775148076</v>
      </c>
      <c r="K43" s="2"/>
      <c r="L43" s="7">
        <f t="shared" si="15"/>
        <v>4264.9014384615002</v>
      </c>
      <c r="M43" s="2"/>
      <c r="N43" s="6">
        <f t="shared" si="16"/>
        <v>0.41822974824921882</v>
      </c>
      <c r="O43" s="11"/>
      <c r="P43" s="7">
        <v>132471.79</v>
      </c>
      <c r="Q43" s="2"/>
      <c r="R43" s="6">
        <f t="shared" si="17"/>
        <v>1.1934929879292795</v>
      </c>
      <c r="S43" s="2"/>
      <c r="T43" s="7">
        <v>99425.708475000298</v>
      </c>
      <c r="U43" s="2"/>
      <c r="V43" s="6">
        <f t="shared" si="18"/>
        <v>0.32899216272959897</v>
      </c>
      <c r="W43" s="2"/>
      <c r="X43" s="7">
        <f t="shared" si="19"/>
        <v>33046.08152499971</v>
      </c>
      <c r="Y43" s="2"/>
      <c r="Z43" s="6">
        <f t="shared" si="20"/>
        <v>0.33236958561184254</v>
      </c>
    </row>
    <row r="44" spans="1:26" s="24" customFormat="1" hidden="1" outlineLevel="2" x14ac:dyDescent="0.25">
      <c r="A44" s="26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3"/>
        <v>0</v>
      </c>
      <c r="G45" s="2"/>
      <c r="H45" s="7">
        <v>0</v>
      </c>
      <c r="I45" s="2"/>
      <c r="J45" s="6">
        <f t="shared" si="14"/>
        <v>0</v>
      </c>
      <c r="K45" s="2"/>
      <c r="L45" s="7">
        <f t="shared" si="15"/>
        <v>0</v>
      </c>
      <c r="M45" s="2"/>
      <c r="N45" s="6">
        <f t="shared" si="16"/>
        <v>0</v>
      </c>
      <c r="O45" s="11"/>
      <c r="P45" s="7"/>
      <c r="Q45" s="2"/>
      <c r="R45" s="6">
        <f t="shared" si="17"/>
        <v>0</v>
      </c>
      <c r="S45" s="2"/>
      <c r="T45" s="7">
        <v>0</v>
      </c>
      <c r="U45" s="2"/>
      <c r="V45" s="6">
        <f t="shared" si="18"/>
        <v>0</v>
      </c>
      <c r="W45" s="2"/>
      <c r="X45" s="7">
        <f t="shared" si="19"/>
        <v>0</v>
      </c>
      <c r="Y45" s="2"/>
      <c r="Z45" s="6">
        <f t="shared" si="20"/>
        <v>0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13"/>
        <v>0</v>
      </c>
      <c r="G46" s="2"/>
      <c r="H46" s="7">
        <v>0</v>
      </c>
      <c r="I46" s="2"/>
      <c r="J46" s="6">
        <f t="shared" si="14"/>
        <v>0</v>
      </c>
      <c r="K46" s="2"/>
      <c r="L46" s="7">
        <f t="shared" si="15"/>
        <v>0</v>
      </c>
      <c r="M46" s="2"/>
      <c r="N46" s="6">
        <f t="shared" si="16"/>
        <v>0</v>
      </c>
      <c r="O46" s="11"/>
      <c r="P46" s="7">
        <v>383.25</v>
      </c>
      <c r="Q46" s="2"/>
      <c r="R46" s="6">
        <f t="shared" si="17"/>
        <v>3.4528573036108011E-3</v>
      </c>
      <c r="S46" s="2"/>
      <c r="T46" s="7">
        <v>0</v>
      </c>
      <c r="U46" s="2"/>
      <c r="V46" s="6">
        <f t="shared" si="18"/>
        <v>0</v>
      </c>
      <c r="W46" s="2"/>
      <c r="X46" s="7">
        <f t="shared" si="19"/>
        <v>383.25</v>
      </c>
      <c r="Y46" s="2"/>
      <c r="Z46" s="6">
        <f t="shared" si="20"/>
        <v>0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3"/>
        <v>0</v>
      </c>
      <c r="G47" s="2"/>
      <c r="H47" s="7">
        <v>0</v>
      </c>
      <c r="I47" s="2"/>
      <c r="J47" s="6">
        <f t="shared" si="14"/>
        <v>0</v>
      </c>
      <c r="K47" s="2"/>
      <c r="L47" s="7">
        <f t="shared" si="15"/>
        <v>0</v>
      </c>
      <c r="M47" s="2"/>
      <c r="N47" s="6">
        <f t="shared" si="16"/>
        <v>0</v>
      </c>
      <c r="O47" s="11"/>
      <c r="P47" s="7"/>
      <c r="Q47" s="2"/>
      <c r="R47" s="6">
        <f t="shared" si="17"/>
        <v>0</v>
      </c>
      <c r="S47" s="2"/>
      <c r="T47" s="7">
        <v>0</v>
      </c>
      <c r="U47" s="2"/>
      <c r="V47" s="6">
        <f t="shared" si="18"/>
        <v>0</v>
      </c>
      <c r="W47" s="2"/>
      <c r="X47" s="7">
        <f t="shared" si="19"/>
        <v>0</v>
      </c>
      <c r="Y47" s="2"/>
      <c r="Z47" s="6">
        <f t="shared" si="20"/>
        <v>0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7">
        <v>507.92</v>
      </c>
      <c r="E48" s="2"/>
      <c r="F48" s="6">
        <f t="shared" si="13"/>
        <v>0.23657196087564045</v>
      </c>
      <c r="G48" s="2"/>
      <c r="H48" s="7">
        <v>0</v>
      </c>
      <c r="I48" s="2"/>
      <c r="J48" s="6">
        <f t="shared" si="14"/>
        <v>0</v>
      </c>
      <c r="K48" s="2"/>
      <c r="L48" s="7">
        <f t="shared" si="15"/>
        <v>507.92</v>
      </c>
      <c r="M48" s="2"/>
      <c r="N48" s="6">
        <f t="shared" si="16"/>
        <v>0</v>
      </c>
      <c r="O48" s="11"/>
      <c r="P48" s="7">
        <v>5963.53</v>
      </c>
      <c r="Q48" s="2"/>
      <c r="R48" s="6">
        <f t="shared" si="17"/>
        <v>5.3727901150168615E-2</v>
      </c>
      <c r="S48" s="2"/>
      <c r="T48" s="7">
        <v>0</v>
      </c>
      <c r="U48" s="2"/>
      <c r="V48" s="6">
        <f t="shared" si="18"/>
        <v>0</v>
      </c>
      <c r="W48" s="2"/>
      <c r="X48" s="7">
        <f t="shared" si="19"/>
        <v>5963.53</v>
      </c>
      <c r="Y48" s="2"/>
      <c r="Z48" s="6">
        <f t="shared" si="20"/>
        <v>0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3"/>
        <v>0</v>
      </c>
      <c r="G49" s="2"/>
      <c r="H49" s="7">
        <v>0</v>
      </c>
      <c r="I49" s="2"/>
      <c r="J49" s="6">
        <f t="shared" si="14"/>
        <v>0</v>
      </c>
      <c r="K49" s="2"/>
      <c r="L49" s="7">
        <f t="shared" si="15"/>
        <v>0</v>
      </c>
      <c r="M49" s="2"/>
      <c r="N49" s="6">
        <f t="shared" si="16"/>
        <v>0</v>
      </c>
      <c r="O49" s="11"/>
      <c r="P49" s="7"/>
      <c r="Q49" s="2"/>
      <c r="R49" s="6">
        <f t="shared" si="17"/>
        <v>0</v>
      </c>
      <c r="S49" s="2"/>
      <c r="T49" s="7">
        <v>0</v>
      </c>
      <c r="U49" s="2"/>
      <c r="V49" s="6">
        <f t="shared" si="18"/>
        <v>0</v>
      </c>
      <c r="W49" s="2"/>
      <c r="X49" s="7">
        <f t="shared" si="19"/>
        <v>0</v>
      </c>
      <c r="Y49" s="2"/>
      <c r="Z49" s="6">
        <f t="shared" si="20"/>
        <v>0</v>
      </c>
    </row>
    <row r="50" spans="1:26" s="24" customFormat="1" hidden="1" outlineLevel="2" x14ac:dyDescent="0.25">
      <c r="A50" s="26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3"/>
        <v>0</v>
      </c>
      <c r="G50" s="2"/>
      <c r="H50" s="7">
        <v>0</v>
      </c>
      <c r="I50" s="2"/>
      <c r="J50" s="6">
        <f t="shared" si="14"/>
        <v>0</v>
      </c>
      <c r="K50" s="2"/>
      <c r="L50" s="7">
        <f t="shared" si="15"/>
        <v>0</v>
      </c>
      <c r="M50" s="2"/>
      <c r="N50" s="6">
        <f t="shared" si="16"/>
        <v>0</v>
      </c>
      <c r="O50" s="11"/>
      <c r="P50" s="7"/>
      <c r="Q50" s="2"/>
      <c r="R50" s="6">
        <f t="shared" si="17"/>
        <v>0</v>
      </c>
      <c r="S50" s="2"/>
      <c r="T50" s="7">
        <v>0</v>
      </c>
      <c r="U50" s="2"/>
      <c r="V50" s="6">
        <f t="shared" si="18"/>
        <v>0</v>
      </c>
      <c r="W50" s="2"/>
      <c r="X50" s="7">
        <f t="shared" si="19"/>
        <v>0</v>
      </c>
      <c r="Y50" s="2"/>
      <c r="Z50" s="6">
        <f t="shared" si="20"/>
        <v>0</v>
      </c>
    </row>
    <row r="51" spans="1:26" s="24" customFormat="1" hidden="1" outlineLevel="2" x14ac:dyDescent="0.25">
      <c r="A51" s="26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3"/>
        <v>0</v>
      </c>
      <c r="G51" s="2"/>
      <c r="H51" s="7">
        <v>0</v>
      </c>
      <c r="I51" s="2"/>
      <c r="J51" s="6">
        <f t="shared" si="14"/>
        <v>0</v>
      </c>
      <c r="K51" s="2"/>
      <c r="L51" s="7">
        <f t="shared" si="15"/>
        <v>0</v>
      </c>
      <c r="M51" s="2"/>
      <c r="N51" s="6">
        <f t="shared" si="16"/>
        <v>0</v>
      </c>
      <c r="O51" s="11"/>
      <c r="P51" s="7"/>
      <c r="Q51" s="2"/>
      <c r="R51" s="6">
        <f t="shared" si="17"/>
        <v>0</v>
      </c>
      <c r="S51" s="2"/>
      <c r="T51" s="7">
        <v>0</v>
      </c>
      <c r="U51" s="2"/>
      <c r="V51" s="6">
        <f t="shared" si="18"/>
        <v>0</v>
      </c>
      <c r="W51" s="2"/>
      <c r="X51" s="7">
        <f t="shared" si="19"/>
        <v>0</v>
      </c>
      <c r="Y51" s="2"/>
      <c r="Z51" s="6">
        <f t="shared" si="20"/>
        <v>0</v>
      </c>
    </row>
    <row r="52" spans="1:26" s="25" customFormat="1" outlineLevel="1" collapsed="1" x14ac:dyDescent="0.25">
      <c r="A52" s="27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0</v>
      </c>
      <c r="E52" s="1"/>
      <c r="F52" s="5">
        <f t="shared" ref="F52:F62" si="21">IF(D$12=0,0,D52/D$12)</f>
        <v>0</v>
      </c>
      <c r="G52" s="1"/>
      <c r="H52" s="1">
        <f>SUM(OSRRefH22_2x_0)</f>
        <v>50</v>
      </c>
      <c r="I52" s="1"/>
      <c r="J52" s="5">
        <f t="shared" ref="J52:J62" si="22">IF(H$12=0,0,H52/H$12)</f>
        <v>1.9230769230769232E-3</v>
      </c>
      <c r="K52" s="1"/>
      <c r="L52" s="1">
        <f t="shared" ref="L52:L62" si="23">+D52-H52</f>
        <v>-50</v>
      </c>
      <c r="M52" s="1"/>
      <c r="N52" s="5">
        <f t="shared" ref="N52:N62" si="24">IF(H52=0,0,L52/H52)</f>
        <v>-1</v>
      </c>
      <c r="O52" s="13"/>
      <c r="P52" s="1">
        <f>SUM(OSRRefP22_2x_0)</f>
        <v>0</v>
      </c>
      <c r="Q52" s="1"/>
      <c r="R52" s="5">
        <f t="shared" ref="R52:R62" si="25">IF(P$12=0,0,P52/P$12)</f>
        <v>0</v>
      </c>
      <c r="S52" s="1"/>
      <c r="T52" s="1">
        <f>SUM(OSRRefT22_2x_0)</f>
        <v>450</v>
      </c>
      <c r="U52" s="1"/>
      <c r="V52" s="5">
        <f t="shared" ref="V52:V62" si="26">IF(T$12=0,0,T52/T$12)</f>
        <v>1.4890160251213548E-3</v>
      </c>
      <c r="W52" s="1"/>
      <c r="X52" s="1">
        <f t="shared" ref="X52:X62" si="27">+P52-T52</f>
        <v>-450</v>
      </c>
      <c r="Y52" s="1"/>
      <c r="Z52" s="5">
        <f t="shared" ref="Z52:Z62" si="28">IF(T52=0,0,X52/T52)</f>
        <v>-1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1"/>
        <v>0</v>
      </c>
      <c r="G53" s="2"/>
      <c r="H53" s="7">
        <v>50</v>
      </c>
      <c r="I53" s="2"/>
      <c r="J53" s="6">
        <f t="shared" si="22"/>
        <v>1.9230769230769232E-3</v>
      </c>
      <c r="K53" s="2"/>
      <c r="L53" s="7">
        <f t="shared" si="23"/>
        <v>-50</v>
      </c>
      <c r="M53" s="2"/>
      <c r="N53" s="6">
        <f t="shared" si="24"/>
        <v>-1</v>
      </c>
      <c r="O53" s="11"/>
      <c r="P53" s="7"/>
      <c r="Q53" s="2"/>
      <c r="R53" s="6">
        <f t="shared" si="25"/>
        <v>0</v>
      </c>
      <c r="S53" s="2"/>
      <c r="T53" s="7">
        <v>450</v>
      </c>
      <c r="U53" s="2"/>
      <c r="V53" s="6">
        <f t="shared" si="26"/>
        <v>1.4890160251213548E-3</v>
      </c>
      <c r="W53" s="2"/>
      <c r="X53" s="7">
        <f t="shared" si="27"/>
        <v>-450</v>
      </c>
      <c r="Y53" s="2"/>
      <c r="Z53" s="6">
        <f t="shared" si="28"/>
        <v>-1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SUM(OSRRefD22_3x_0)</f>
        <v>169.88</v>
      </c>
      <c r="E54" s="1"/>
      <c r="F54" s="5">
        <f t="shared" si="21"/>
        <v>7.9124359571495106E-2</v>
      </c>
      <c r="G54" s="1"/>
      <c r="H54" s="1">
        <f>SUM(OSRRefH22_3x_0)</f>
        <v>170</v>
      </c>
      <c r="I54" s="1"/>
      <c r="J54" s="5">
        <f t="shared" si="22"/>
        <v>6.5384615384615381E-3</v>
      </c>
      <c r="K54" s="1"/>
      <c r="L54" s="1">
        <f t="shared" si="23"/>
        <v>-0.12000000000000455</v>
      </c>
      <c r="M54" s="1"/>
      <c r="N54" s="5">
        <f t="shared" si="24"/>
        <v>-7.0588235294120319E-4</v>
      </c>
      <c r="O54" s="13"/>
      <c r="P54" s="1">
        <f>SUM(OSRRefP22_3x_0)</f>
        <v>1528.92</v>
      </c>
      <c r="Q54" s="1"/>
      <c r="R54" s="5">
        <f t="shared" si="25"/>
        <v>1.3774670811837251E-2</v>
      </c>
      <c r="S54" s="1"/>
      <c r="T54" s="1">
        <f>SUM(OSRRefT22_3x_0)</f>
        <v>1530</v>
      </c>
      <c r="U54" s="1"/>
      <c r="V54" s="5">
        <f t="shared" si="26"/>
        <v>5.0626544854126066E-3</v>
      </c>
      <c r="W54" s="1"/>
      <c r="X54" s="1">
        <f t="shared" si="27"/>
        <v>-1.0799999999999272</v>
      </c>
      <c r="Y54" s="1"/>
      <c r="Z54" s="5">
        <f t="shared" si="28"/>
        <v>-7.0588235294112892E-4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169.88</v>
      </c>
      <c r="E55" s="2"/>
      <c r="F55" s="6">
        <f t="shared" si="21"/>
        <v>7.9124359571495106E-2</v>
      </c>
      <c r="G55" s="2"/>
      <c r="H55" s="7">
        <v>170</v>
      </c>
      <c r="I55" s="2"/>
      <c r="J55" s="6">
        <f t="shared" si="22"/>
        <v>6.5384615384615381E-3</v>
      </c>
      <c r="K55" s="2"/>
      <c r="L55" s="7">
        <f t="shared" si="23"/>
        <v>-0.12000000000000455</v>
      </c>
      <c r="M55" s="2"/>
      <c r="N55" s="6">
        <f t="shared" si="24"/>
        <v>-7.0588235294120319E-4</v>
      </c>
      <c r="O55" s="11"/>
      <c r="P55" s="7">
        <v>1528.92</v>
      </c>
      <c r="Q55" s="2"/>
      <c r="R55" s="6">
        <f t="shared" si="25"/>
        <v>1.3774670811837251E-2</v>
      </c>
      <c r="S55" s="2"/>
      <c r="T55" s="7">
        <v>1530</v>
      </c>
      <c r="U55" s="2"/>
      <c r="V55" s="6">
        <f t="shared" si="26"/>
        <v>5.0626544854126066E-3</v>
      </c>
      <c r="W55" s="2"/>
      <c r="X55" s="7">
        <f t="shared" si="27"/>
        <v>-1.0799999999999272</v>
      </c>
      <c r="Y55" s="2"/>
      <c r="Z55" s="6">
        <f t="shared" si="28"/>
        <v>-7.0588235294112892E-4</v>
      </c>
    </row>
    <row r="56" spans="1:26" s="25" customFormat="1" outlineLevel="1" collapsed="1" x14ac:dyDescent="0.25">
      <c r="A56" s="27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SUM(OSRRefD22_4x_0)</f>
        <v>0</v>
      </c>
      <c r="E56" s="1"/>
      <c r="F56" s="5">
        <f t="shared" si="21"/>
        <v>0</v>
      </c>
      <c r="G56" s="1"/>
      <c r="H56" s="1">
        <f>SUM(OSRRefH22_4x_0)</f>
        <v>50</v>
      </c>
      <c r="I56" s="1"/>
      <c r="J56" s="5">
        <f t="shared" si="22"/>
        <v>1.9230769230769232E-3</v>
      </c>
      <c r="K56" s="1"/>
      <c r="L56" s="1">
        <f t="shared" si="23"/>
        <v>-50</v>
      </c>
      <c r="M56" s="1"/>
      <c r="N56" s="5">
        <f t="shared" si="24"/>
        <v>-1</v>
      </c>
      <c r="O56" s="13"/>
      <c r="P56" s="1">
        <f>SUM(OSRRefP22_4x_0)</f>
        <v>0</v>
      </c>
      <c r="Q56" s="1"/>
      <c r="R56" s="5">
        <f t="shared" si="25"/>
        <v>0</v>
      </c>
      <c r="S56" s="1"/>
      <c r="T56" s="1">
        <f>SUM(OSRRefT22_4x_0)</f>
        <v>450</v>
      </c>
      <c r="U56" s="1"/>
      <c r="V56" s="5">
        <f t="shared" si="26"/>
        <v>1.4890160251213548E-3</v>
      </c>
      <c r="W56" s="1"/>
      <c r="X56" s="1">
        <f t="shared" si="27"/>
        <v>-450</v>
      </c>
      <c r="Y56" s="1"/>
      <c r="Z56" s="5">
        <f t="shared" si="28"/>
        <v>-1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7"/>
      <c r="E57" s="2"/>
      <c r="F57" s="6">
        <f t="shared" si="21"/>
        <v>0</v>
      </c>
      <c r="G57" s="2"/>
      <c r="H57" s="7">
        <v>50</v>
      </c>
      <c r="I57" s="2"/>
      <c r="J57" s="6">
        <f t="shared" si="22"/>
        <v>1.9230769230769232E-3</v>
      </c>
      <c r="K57" s="2"/>
      <c r="L57" s="7">
        <f t="shared" si="23"/>
        <v>-50</v>
      </c>
      <c r="M57" s="2"/>
      <c r="N57" s="6">
        <f t="shared" si="24"/>
        <v>-1</v>
      </c>
      <c r="O57" s="11"/>
      <c r="P57" s="7">
        <v>0</v>
      </c>
      <c r="Q57" s="2"/>
      <c r="R57" s="6">
        <f t="shared" si="25"/>
        <v>0</v>
      </c>
      <c r="S57" s="2"/>
      <c r="T57" s="7">
        <v>450</v>
      </c>
      <c r="U57" s="2"/>
      <c r="V57" s="6">
        <f t="shared" si="26"/>
        <v>1.4890160251213548E-3</v>
      </c>
      <c r="W57" s="2"/>
      <c r="X57" s="7">
        <f t="shared" si="27"/>
        <v>-450</v>
      </c>
      <c r="Y57" s="2"/>
      <c r="Z57" s="6">
        <f t="shared" si="28"/>
        <v>-1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SUM(OSRRefD22_5x_0)</f>
        <v>1205.6400000000001</v>
      </c>
      <c r="E58" s="1"/>
      <c r="F58" s="5">
        <f t="shared" si="21"/>
        <v>0.56154634373544488</v>
      </c>
      <c r="G58" s="1"/>
      <c r="H58" s="1">
        <f>SUM(OSRRefH22_5x_0)</f>
        <v>1206</v>
      </c>
      <c r="I58" s="1"/>
      <c r="J58" s="5">
        <f t="shared" si="22"/>
        <v>4.6384615384615385E-2</v>
      </c>
      <c r="K58" s="1"/>
      <c r="L58" s="1">
        <f t="shared" si="23"/>
        <v>-0.35999999999989996</v>
      </c>
      <c r="M58" s="1"/>
      <c r="N58" s="5">
        <f t="shared" si="24"/>
        <v>-2.9850746268648423E-4</v>
      </c>
      <c r="O58" s="13"/>
      <c r="P58" s="1">
        <f>SUM(OSRRefP22_5x_0)</f>
        <v>10850.76</v>
      </c>
      <c r="Q58" s="1"/>
      <c r="R58" s="5">
        <f t="shared" si="25"/>
        <v>9.7758971730536048E-2</v>
      </c>
      <c r="S58" s="1"/>
      <c r="T58" s="1">
        <f>SUM(OSRRefT22_5x_0)</f>
        <v>10854</v>
      </c>
      <c r="U58" s="1"/>
      <c r="V58" s="5">
        <f t="shared" si="26"/>
        <v>3.5915066525927075E-2</v>
      </c>
      <c r="W58" s="1"/>
      <c r="X58" s="1">
        <f t="shared" si="27"/>
        <v>-3.2399999999997817</v>
      </c>
      <c r="Y58" s="1"/>
      <c r="Z58" s="5">
        <f t="shared" si="28"/>
        <v>-2.9850746268654706E-4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21"/>
        <v>0.56154634373544488</v>
      </c>
      <c r="G59" s="2"/>
      <c r="H59" s="7">
        <v>1206</v>
      </c>
      <c r="I59" s="2"/>
      <c r="J59" s="6">
        <f t="shared" si="22"/>
        <v>4.6384615384615385E-2</v>
      </c>
      <c r="K59" s="2"/>
      <c r="L59" s="7">
        <f t="shared" si="23"/>
        <v>-0.35999999999989996</v>
      </c>
      <c r="M59" s="2"/>
      <c r="N59" s="6">
        <f t="shared" si="24"/>
        <v>-2.9850746268648423E-4</v>
      </c>
      <c r="O59" s="11"/>
      <c r="P59" s="7">
        <v>10850.76</v>
      </c>
      <c r="Q59" s="2"/>
      <c r="R59" s="6">
        <f t="shared" si="25"/>
        <v>9.7758971730536048E-2</v>
      </c>
      <c r="S59" s="2"/>
      <c r="T59" s="7">
        <v>10854</v>
      </c>
      <c r="U59" s="2"/>
      <c r="V59" s="6">
        <f t="shared" si="26"/>
        <v>3.5915066525927075E-2</v>
      </c>
      <c r="W59" s="2"/>
      <c r="X59" s="7">
        <f t="shared" si="27"/>
        <v>-3.2399999999997817</v>
      </c>
      <c r="Y59" s="2"/>
      <c r="Z59" s="6">
        <f t="shared" si="28"/>
        <v>-2.9850746268654706E-4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SUM(OSRRefD22_6x_0)</f>
        <v>-8583.6000000000022</v>
      </c>
      <c r="E60" s="1"/>
      <c r="F60" s="5">
        <f t="shared" si="21"/>
        <v>-3.9979506287843511</v>
      </c>
      <c r="G60" s="1"/>
      <c r="H60" s="1">
        <f>SUM(OSRRefH22_6x_0)</f>
        <v>-18000</v>
      </c>
      <c r="I60" s="1"/>
      <c r="J60" s="5">
        <f t="shared" si="22"/>
        <v>-0.69230769230769229</v>
      </c>
      <c r="K60" s="1"/>
      <c r="L60" s="1">
        <f t="shared" si="23"/>
        <v>9416.3999999999978</v>
      </c>
      <c r="M60" s="1"/>
      <c r="N60" s="5">
        <f t="shared" si="24"/>
        <v>-0.52313333333333323</v>
      </c>
      <c r="O60" s="13"/>
      <c r="P60" s="1">
        <f>SUM(OSRRefP22_6x_0)</f>
        <v>-54006.010000000009</v>
      </c>
      <c r="Q60" s="1"/>
      <c r="R60" s="5">
        <f t="shared" si="25"/>
        <v>-0.48656241635323683</v>
      </c>
      <c r="S60" s="1"/>
      <c r="T60" s="1">
        <f>SUM(OSRRefT22_6x_0)</f>
        <v>10510</v>
      </c>
      <c r="U60" s="1"/>
      <c r="V60" s="5">
        <f t="shared" si="26"/>
        <v>3.4776796497834307E-2</v>
      </c>
      <c r="W60" s="1"/>
      <c r="X60" s="1">
        <f t="shared" si="27"/>
        <v>-64516.010000000009</v>
      </c>
      <c r="Y60" s="1"/>
      <c r="Z60" s="5">
        <f t="shared" si="28"/>
        <v>-6.1385356803044724</v>
      </c>
    </row>
    <row r="61" spans="1:26" s="24" customFormat="1" hidden="1" outlineLevel="2" x14ac:dyDescent="0.25">
      <c r="A61" s="26"/>
      <c r="B61" s="11" t="str">
        <f>CONCATENATE("          ", "6305", " - ", "FREIGHT OUT")</f>
        <v xml:space="preserve">          6305 - FREIGHT OUT</v>
      </c>
      <c r="C61" s="11"/>
      <c r="D61" s="7">
        <v>10582.48</v>
      </c>
      <c r="E61" s="2"/>
      <c r="F61" s="6">
        <f t="shared" si="21"/>
        <v>4.9289613414066134</v>
      </c>
      <c r="G61" s="2"/>
      <c r="H61" s="7">
        <v>2000</v>
      </c>
      <c r="I61" s="2"/>
      <c r="J61" s="6">
        <f t="shared" si="22"/>
        <v>7.6923076923076927E-2</v>
      </c>
      <c r="K61" s="2"/>
      <c r="L61" s="7">
        <f t="shared" si="23"/>
        <v>8582.48</v>
      </c>
      <c r="M61" s="2"/>
      <c r="N61" s="6">
        <f t="shared" si="24"/>
        <v>4.2912400000000002</v>
      </c>
      <c r="O61" s="11"/>
      <c r="P61" s="7">
        <v>161479.19</v>
      </c>
      <c r="Q61" s="2"/>
      <c r="R61" s="6">
        <f t="shared" si="25"/>
        <v>1.4548326172802513</v>
      </c>
      <c r="S61" s="2"/>
      <c r="T61" s="7">
        <v>32960</v>
      </c>
      <c r="U61" s="2"/>
      <c r="V61" s="6">
        <f t="shared" si="26"/>
        <v>0.10906215152888857</v>
      </c>
      <c r="W61" s="2"/>
      <c r="X61" s="7">
        <f t="shared" si="27"/>
        <v>128519.19</v>
      </c>
      <c r="Y61" s="2"/>
      <c r="Z61" s="6">
        <f t="shared" si="28"/>
        <v>3.8992472694174758</v>
      </c>
    </row>
    <row r="62" spans="1:26" s="24" customFormat="1" hidden="1" outlineLevel="2" x14ac:dyDescent="0.25">
      <c r="A62" s="26"/>
      <c r="B62" s="11" t="str">
        <f>CONCATENATE("          ", "6307", " - ", "POSTAGE")</f>
        <v xml:space="preserve">          6307 - POSTAGE</v>
      </c>
      <c r="C62" s="11"/>
      <c r="D62" s="7">
        <v>-19166.080000000002</v>
      </c>
      <c r="E62" s="2"/>
      <c r="F62" s="6">
        <f t="shared" si="21"/>
        <v>-8.9269119701909645</v>
      </c>
      <c r="G62" s="2"/>
      <c r="H62" s="7">
        <v>-20000</v>
      </c>
      <c r="I62" s="2"/>
      <c r="J62" s="6">
        <f t="shared" si="22"/>
        <v>-0.76923076923076927</v>
      </c>
      <c r="K62" s="2"/>
      <c r="L62" s="7">
        <f t="shared" si="23"/>
        <v>833.91999999999825</v>
      </c>
      <c r="M62" s="2"/>
      <c r="N62" s="6">
        <f t="shared" si="24"/>
        <v>-4.1695999999999914E-2</v>
      </c>
      <c r="O62" s="11"/>
      <c r="P62" s="7">
        <v>-215485.2</v>
      </c>
      <c r="Q62" s="2"/>
      <c r="R62" s="6">
        <f t="shared" si="25"/>
        <v>-1.941395033633488</v>
      </c>
      <c r="S62" s="2"/>
      <c r="T62" s="7">
        <v>-22450</v>
      </c>
      <c r="U62" s="2"/>
      <c r="V62" s="6">
        <f t="shared" si="26"/>
        <v>-7.4285355031054254E-2</v>
      </c>
      <c r="W62" s="2"/>
      <c r="X62" s="7">
        <f t="shared" si="27"/>
        <v>-193035.2</v>
      </c>
      <c r="Y62" s="2"/>
      <c r="Z62" s="6">
        <f t="shared" si="28"/>
        <v>8.5984498886414258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SUM(OSRRefD22_7x_0)</f>
        <v>85.78</v>
      </c>
      <c r="E63" s="1"/>
      <c r="F63" s="5">
        <f t="shared" ref="F63:F65" si="29">IF(D$12=0,0,D63/D$12)</f>
        <v>3.9953423381462509E-2</v>
      </c>
      <c r="G63" s="1"/>
      <c r="H63" s="1">
        <f>SUM(OSRRefH22_7x_0)</f>
        <v>10000</v>
      </c>
      <c r="I63" s="1"/>
      <c r="J63" s="5">
        <f t="shared" ref="J63:J65" si="30">IF(H$12=0,0,H63/H$12)</f>
        <v>0.38461538461538464</v>
      </c>
      <c r="K63" s="1"/>
      <c r="L63" s="1">
        <f t="shared" ref="L63:L65" si="31">+D63-H63</f>
        <v>-9914.2199999999993</v>
      </c>
      <c r="M63" s="1"/>
      <c r="N63" s="5">
        <f t="shared" ref="N63:N65" si="32">IF(H63=0,0,L63/H63)</f>
        <v>-0.99142199999999991</v>
      </c>
      <c r="O63" s="13"/>
      <c r="P63" s="1">
        <f>SUM(OSRRefP22_7x_0)</f>
        <v>30991.34</v>
      </c>
      <c r="Q63" s="1"/>
      <c r="R63" s="5">
        <f t="shared" ref="R63:R65" si="33">IF(P$12=0,0,P63/P$12)</f>
        <v>0.27921376299461337</v>
      </c>
      <c r="S63" s="1"/>
      <c r="T63" s="1">
        <f>SUM(OSRRefT22_7x_0)</f>
        <v>50400</v>
      </c>
      <c r="U63" s="1"/>
      <c r="V63" s="5">
        <f t="shared" ref="V63:V65" si="34">IF(T$12=0,0,T63/T$12)</f>
        <v>0.16676979481359175</v>
      </c>
      <c r="W63" s="1"/>
      <c r="X63" s="1">
        <f t="shared" ref="X63:X65" si="35">+P63-T63</f>
        <v>-19408.66</v>
      </c>
      <c r="Y63" s="1"/>
      <c r="Z63" s="5">
        <f t="shared" ref="Z63:Z65" si="36">IF(T63=0,0,X63/T63)</f>
        <v>-0.38509246031746031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29"/>
        <v>0</v>
      </c>
      <c r="G64" s="2"/>
      <c r="H64" s="7"/>
      <c r="I64" s="2"/>
      <c r="J64" s="6">
        <f t="shared" si="30"/>
        <v>0</v>
      </c>
      <c r="K64" s="2"/>
      <c r="L64" s="7">
        <f t="shared" si="31"/>
        <v>0</v>
      </c>
      <c r="M64" s="2"/>
      <c r="N64" s="6">
        <f t="shared" si="32"/>
        <v>0</v>
      </c>
      <c r="O64" s="11"/>
      <c r="P64" s="7">
        <v>7.69</v>
      </c>
      <c r="Q64" s="2"/>
      <c r="R64" s="6">
        <f t="shared" si="33"/>
        <v>6.9282381382301532E-5</v>
      </c>
      <c r="S64" s="2"/>
      <c r="T64" s="7"/>
      <c r="U64" s="2"/>
      <c r="V64" s="6">
        <f t="shared" si="34"/>
        <v>0</v>
      </c>
      <c r="W64" s="2"/>
      <c r="X64" s="7">
        <f t="shared" si="35"/>
        <v>7.69</v>
      </c>
      <c r="Y64" s="2"/>
      <c r="Z64" s="6">
        <f t="shared" si="36"/>
        <v>0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7">
        <v>85.78</v>
      </c>
      <c r="E65" s="2"/>
      <c r="F65" s="6">
        <f t="shared" si="29"/>
        <v>3.9953423381462509E-2</v>
      </c>
      <c r="G65" s="2"/>
      <c r="H65" s="7">
        <v>10000</v>
      </c>
      <c r="I65" s="2"/>
      <c r="J65" s="6">
        <f t="shared" si="30"/>
        <v>0.38461538461538464</v>
      </c>
      <c r="K65" s="2"/>
      <c r="L65" s="7">
        <f t="shared" si="31"/>
        <v>-9914.2199999999993</v>
      </c>
      <c r="M65" s="2"/>
      <c r="N65" s="6">
        <f t="shared" si="32"/>
        <v>-0.99142199999999991</v>
      </c>
      <c r="O65" s="11"/>
      <c r="P65" s="7">
        <v>30983.65</v>
      </c>
      <c r="Q65" s="2"/>
      <c r="R65" s="6">
        <f t="shared" si="33"/>
        <v>0.27914448061323105</v>
      </c>
      <c r="S65" s="2"/>
      <c r="T65" s="7">
        <v>50400</v>
      </c>
      <c r="U65" s="2"/>
      <c r="V65" s="6">
        <f t="shared" si="34"/>
        <v>0.16676979481359175</v>
      </c>
      <c r="W65" s="2"/>
      <c r="X65" s="7">
        <f t="shared" si="35"/>
        <v>-19416.349999999999</v>
      </c>
      <c r="Y65" s="2"/>
      <c r="Z65" s="6">
        <f t="shared" si="36"/>
        <v>-0.38524503968253965</v>
      </c>
    </row>
    <row r="66" spans="1:26" s="25" customFormat="1" outlineLevel="1" collapsed="1" x14ac:dyDescent="0.25">
      <c r="A66" s="27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SUM(OSRRefD22_8x_0)</f>
        <v>27.21</v>
      </c>
      <c r="E66" s="1"/>
      <c r="F66" s="5">
        <f t="shared" ref="F66:F73" si="37">IF(D$12=0,0,D66/D$12)</f>
        <v>1.2673497904052167E-2</v>
      </c>
      <c r="G66" s="1"/>
      <c r="H66" s="1">
        <f>SUM(OSRRefH22_8x_0)</f>
        <v>4200</v>
      </c>
      <c r="I66" s="1"/>
      <c r="J66" s="5">
        <f t="shared" ref="J66:J73" si="38">IF(H$12=0,0,H66/H$12)</f>
        <v>0.16153846153846155</v>
      </c>
      <c r="K66" s="1"/>
      <c r="L66" s="1">
        <f t="shared" ref="L66:L73" si="39">+D66-H66</f>
        <v>-4172.79</v>
      </c>
      <c r="M66" s="1"/>
      <c r="N66" s="5">
        <f t="shared" ref="N66:N73" si="40">IF(H66=0,0,L66/H66)</f>
        <v>-0.99352142857142856</v>
      </c>
      <c r="O66" s="13"/>
      <c r="P66" s="1">
        <f>SUM(OSRRefP22_8x_0)</f>
        <v>10663.62</v>
      </c>
      <c r="Q66" s="1"/>
      <c r="R66" s="5">
        <f t="shared" ref="R66:R73" si="41">IF(P$12=0,0,P66/P$12)</f>
        <v>9.6072950293359993E-2</v>
      </c>
      <c r="S66" s="1"/>
      <c r="T66" s="1">
        <f>SUM(OSRRefT22_8x_0)</f>
        <v>23550</v>
      </c>
      <c r="U66" s="1"/>
      <c r="V66" s="5">
        <f t="shared" ref="V66:V73" si="42">IF(T$12=0,0,T66/T$12)</f>
        <v>7.7925171981350905E-2</v>
      </c>
      <c r="W66" s="1"/>
      <c r="X66" s="1">
        <f t="shared" ref="X66:X73" si="43">+P66-T66</f>
        <v>-12886.38</v>
      </c>
      <c r="Y66" s="1"/>
      <c r="Z66" s="5">
        <f t="shared" ref="Z66:Z73" si="44">IF(T66=0,0,X66/T66)</f>
        <v>-0.54719235668789801</v>
      </c>
    </row>
    <row r="67" spans="1:26" s="24" customFormat="1" hidden="1" outlineLevel="2" x14ac:dyDescent="0.25">
      <c r="A67" s="26"/>
      <c r="B67" s="11" t="str">
        <f>CONCATENATE("          ", "6259", " - ", "ROYALTY &amp; COMMISSIONS")</f>
        <v xml:space="preserve">          6259 - ROYALTY &amp; COMMISSIONS</v>
      </c>
      <c r="C67" s="11"/>
      <c r="D67" s="7">
        <v>27.21</v>
      </c>
      <c r="E67" s="2"/>
      <c r="F67" s="6">
        <f t="shared" si="37"/>
        <v>1.2673497904052167E-2</v>
      </c>
      <c r="G67" s="2"/>
      <c r="H67" s="7">
        <v>4200</v>
      </c>
      <c r="I67" s="2"/>
      <c r="J67" s="6">
        <f t="shared" si="38"/>
        <v>0.16153846153846155</v>
      </c>
      <c r="K67" s="2"/>
      <c r="L67" s="7">
        <f t="shared" si="39"/>
        <v>-4172.79</v>
      </c>
      <c r="M67" s="2"/>
      <c r="N67" s="6">
        <f t="shared" si="40"/>
        <v>-0.99352142857142856</v>
      </c>
      <c r="O67" s="11"/>
      <c r="P67" s="7">
        <v>10663.62</v>
      </c>
      <c r="Q67" s="2"/>
      <c r="R67" s="6">
        <f t="shared" si="41"/>
        <v>9.6072950293359993E-2</v>
      </c>
      <c r="S67" s="2"/>
      <c r="T67" s="7">
        <v>23550</v>
      </c>
      <c r="U67" s="2"/>
      <c r="V67" s="6">
        <f t="shared" si="42"/>
        <v>7.7925171981350905E-2</v>
      </c>
      <c r="W67" s="2"/>
      <c r="X67" s="7">
        <f t="shared" si="43"/>
        <v>-12886.38</v>
      </c>
      <c r="Y67" s="2"/>
      <c r="Z67" s="6">
        <f t="shared" si="44"/>
        <v>-0.54719235668789801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SUM(OSRRefD22_9x_0)</f>
        <v>2585.0099999999998</v>
      </c>
      <c r="E68" s="1"/>
      <c r="F68" s="5">
        <f t="shared" si="37"/>
        <v>1.204010246856078</v>
      </c>
      <c r="G68" s="1"/>
      <c r="H68" s="1">
        <f>SUM(OSRRefH22_9x_0)</f>
        <v>5900</v>
      </c>
      <c r="I68" s="1"/>
      <c r="J68" s="5">
        <f t="shared" si="38"/>
        <v>0.22692307692307692</v>
      </c>
      <c r="K68" s="1"/>
      <c r="L68" s="1">
        <f t="shared" si="39"/>
        <v>-3314.9900000000002</v>
      </c>
      <c r="M68" s="1"/>
      <c r="N68" s="5">
        <f t="shared" si="40"/>
        <v>-0.56186271186440684</v>
      </c>
      <c r="O68" s="13"/>
      <c r="P68" s="1">
        <f>SUM(OSRRefP22_9x_0)</f>
        <v>32513.17</v>
      </c>
      <c r="Q68" s="1"/>
      <c r="R68" s="5">
        <f t="shared" si="41"/>
        <v>0.29292455707251036</v>
      </c>
      <c r="S68" s="1"/>
      <c r="T68" s="1">
        <f>SUM(OSRRefT22_9x_0)</f>
        <v>19550</v>
      </c>
      <c r="U68" s="1"/>
      <c r="V68" s="5">
        <f t="shared" si="42"/>
        <v>6.4689473980272194E-2</v>
      </c>
      <c r="W68" s="1"/>
      <c r="X68" s="1">
        <f t="shared" si="43"/>
        <v>12963.169999999998</v>
      </c>
      <c r="Y68" s="1"/>
      <c r="Z68" s="5">
        <f t="shared" si="44"/>
        <v>0.6630777493606137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310.91000000000003</v>
      </c>
      <c r="Q69" s="2"/>
      <c r="R69" s="6">
        <f t="shared" si="41"/>
        <v>2.8011164103473826E-3</v>
      </c>
      <c r="S69" s="2"/>
      <c r="T69" s="7"/>
      <c r="U69" s="2"/>
      <c r="V69" s="6">
        <f t="shared" si="42"/>
        <v>0</v>
      </c>
      <c r="W69" s="2"/>
      <c r="X69" s="7">
        <f t="shared" si="43"/>
        <v>310.91000000000003</v>
      </c>
      <c r="Y69" s="2"/>
      <c r="Z69" s="6">
        <f t="shared" si="44"/>
        <v>0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>
        <v>46.64</v>
      </c>
      <c r="E70" s="2"/>
      <c r="F70" s="6">
        <f t="shared" si="37"/>
        <v>2.1723334885887284E-2</v>
      </c>
      <c r="G70" s="2"/>
      <c r="H70" s="7"/>
      <c r="I70" s="2"/>
      <c r="J70" s="6">
        <f t="shared" si="38"/>
        <v>0</v>
      </c>
      <c r="K70" s="2"/>
      <c r="L70" s="7">
        <f t="shared" si="39"/>
        <v>46.64</v>
      </c>
      <c r="M70" s="2"/>
      <c r="N70" s="6">
        <f t="shared" si="40"/>
        <v>0</v>
      </c>
      <c r="O70" s="11"/>
      <c r="P70" s="7">
        <v>4651.21</v>
      </c>
      <c r="Q70" s="2"/>
      <c r="R70" s="6">
        <f t="shared" si="41"/>
        <v>4.1904669064912185E-2</v>
      </c>
      <c r="S70" s="2"/>
      <c r="T70" s="7"/>
      <c r="U70" s="2"/>
      <c r="V70" s="6">
        <f t="shared" si="42"/>
        <v>0</v>
      </c>
      <c r="W70" s="2"/>
      <c r="X70" s="7">
        <f t="shared" si="43"/>
        <v>4651.21</v>
      </c>
      <c r="Y70" s="2"/>
      <c r="Z70" s="6">
        <f t="shared" si="44"/>
        <v>0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7">
        <v>309.25</v>
      </c>
      <c r="E71" s="2"/>
      <c r="F71" s="6">
        <f t="shared" si="37"/>
        <v>0.14403819282720073</v>
      </c>
      <c r="G71" s="2"/>
      <c r="H71" s="7">
        <v>5600</v>
      </c>
      <c r="I71" s="2"/>
      <c r="J71" s="6">
        <f t="shared" si="38"/>
        <v>0.2153846153846154</v>
      </c>
      <c r="K71" s="2"/>
      <c r="L71" s="7">
        <f t="shared" si="39"/>
        <v>-5290.75</v>
      </c>
      <c r="M71" s="2"/>
      <c r="N71" s="6">
        <f t="shared" si="40"/>
        <v>-0.94477678571428569</v>
      </c>
      <c r="O71" s="11"/>
      <c r="P71" s="7">
        <v>6482.65</v>
      </c>
      <c r="Q71" s="2"/>
      <c r="R71" s="6">
        <f t="shared" si="41"/>
        <v>5.8404867317032122E-2</v>
      </c>
      <c r="S71" s="2"/>
      <c r="T71" s="7">
        <v>16800</v>
      </c>
      <c r="U71" s="2"/>
      <c r="V71" s="6">
        <f t="shared" si="42"/>
        <v>5.5589931604530581E-2</v>
      </c>
      <c r="W71" s="2"/>
      <c r="X71" s="7">
        <f t="shared" si="43"/>
        <v>-10317.35</v>
      </c>
      <c r="Y71" s="2"/>
      <c r="Z71" s="6">
        <f t="shared" si="44"/>
        <v>-0.61412797619047621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7">
        <v>447.27</v>
      </c>
      <c r="E72" s="2"/>
      <c r="F72" s="6">
        <f t="shared" si="37"/>
        <v>0.20832324173265021</v>
      </c>
      <c r="G72" s="2"/>
      <c r="H72" s="7">
        <v>200</v>
      </c>
      <c r="I72" s="2"/>
      <c r="J72" s="6">
        <f t="shared" si="38"/>
        <v>7.6923076923076927E-3</v>
      </c>
      <c r="K72" s="2"/>
      <c r="L72" s="7">
        <f t="shared" si="39"/>
        <v>247.26999999999998</v>
      </c>
      <c r="M72" s="2"/>
      <c r="N72" s="6">
        <f t="shared" si="40"/>
        <v>1.2363499999999998</v>
      </c>
      <c r="O72" s="11"/>
      <c r="P72" s="7">
        <v>1285.55</v>
      </c>
      <c r="Q72" s="2"/>
      <c r="R72" s="6">
        <f t="shared" si="41"/>
        <v>1.1582050115216871E-2</v>
      </c>
      <c r="S72" s="2"/>
      <c r="T72" s="7">
        <v>1900</v>
      </c>
      <c r="U72" s="2"/>
      <c r="V72" s="6">
        <f t="shared" si="42"/>
        <v>6.2869565505123872E-3</v>
      </c>
      <c r="W72" s="2"/>
      <c r="X72" s="7">
        <f t="shared" si="43"/>
        <v>-614.45000000000005</v>
      </c>
      <c r="Y72" s="2"/>
      <c r="Z72" s="6">
        <f t="shared" si="44"/>
        <v>-0.32339473684210529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7">
        <v>1781.85</v>
      </c>
      <c r="E73" s="2"/>
      <c r="F73" s="6">
        <f t="shared" si="37"/>
        <v>0.82992547741033995</v>
      </c>
      <c r="G73" s="2"/>
      <c r="H73" s="7">
        <v>100</v>
      </c>
      <c r="I73" s="2"/>
      <c r="J73" s="6">
        <f t="shared" si="38"/>
        <v>3.8461538461538464E-3</v>
      </c>
      <c r="K73" s="2"/>
      <c r="L73" s="7">
        <f t="shared" si="39"/>
        <v>1681.85</v>
      </c>
      <c r="M73" s="2"/>
      <c r="N73" s="6">
        <f t="shared" si="40"/>
        <v>16.8185</v>
      </c>
      <c r="O73" s="11"/>
      <c r="P73" s="7">
        <v>19782.849999999999</v>
      </c>
      <c r="Q73" s="2"/>
      <c r="R73" s="6">
        <f t="shared" si="41"/>
        <v>0.17823185416500179</v>
      </c>
      <c r="S73" s="2"/>
      <c r="T73" s="7">
        <v>850</v>
      </c>
      <c r="U73" s="2"/>
      <c r="V73" s="6">
        <f t="shared" si="42"/>
        <v>2.8125858252292259E-3</v>
      </c>
      <c r="W73" s="2"/>
      <c r="X73" s="7">
        <f t="shared" si="43"/>
        <v>18932.849999999999</v>
      </c>
      <c r="Y73" s="2"/>
      <c r="Z73" s="6">
        <f t="shared" si="44"/>
        <v>22.273941176470586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SUM(OSRRefD22_10x_0)</f>
        <v>82.1</v>
      </c>
      <c r="E74" s="1"/>
      <c r="F74" s="5">
        <f t="shared" ref="F74:F77" si="45">IF(D$12=0,0,D74/D$12)</f>
        <v>3.8239403819282716E-2</v>
      </c>
      <c r="G74" s="1"/>
      <c r="H74" s="1">
        <f>SUM(OSRRefH22_10x_0)</f>
        <v>165</v>
      </c>
      <c r="I74" s="1"/>
      <c r="J74" s="5">
        <f t="shared" ref="J74:J77" si="46">IF(H$12=0,0,H74/H$12)</f>
        <v>6.346153846153846E-3</v>
      </c>
      <c r="K74" s="1"/>
      <c r="L74" s="1">
        <f t="shared" ref="L74:L77" si="47">+D74-H74</f>
        <v>-82.9</v>
      </c>
      <c r="M74" s="1"/>
      <c r="N74" s="5">
        <f t="shared" ref="N74:N77" si="48">IF(H74=0,0,L74/H74)</f>
        <v>-0.50242424242424244</v>
      </c>
      <c r="O74" s="13"/>
      <c r="P74" s="1">
        <f>SUM(OSRRefP22_10x_0)</f>
        <v>1503.4</v>
      </c>
      <c r="Q74" s="1"/>
      <c r="R74" s="5">
        <f t="shared" ref="R74:R77" si="49">IF(P$12=0,0,P74/P$12)</f>
        <v>1.3544750607301967E-2</v>
      </c>
      <c r="S74" s="1"/>
      <c r="T74" s="1">
        <f>SUM(OSRRefT22_10x_0)</f>
        <v>1485</v>
      </c>
      <c r="U74" s="1"/>
      <c r="V74" s="5">
        <f t="shared" ref="V74:V77" si="50">IF(T$12=0,0,T74/T$12)</f>
        <v>4.913752882900471E-3</v>
      </c>
      <c r="W74" s="1"/>
      <c r="X74" s="1">
        <f t="shared" ref="X74:X77" si="51">+P74-T74</f>
        <v>18.400000000000091</v>
      </c>
      <c r="Y74" s="1"/>
      <c r="Z74" s="5">
        <f t="shared" ref="Z74:Z77" si="52">IF(T74=0,0,X74/T74)</f>
        <v>1.2390572390572452E-2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7">
        <v>82.1</v>
      </c>
      <c r="E75" s="2"/>
      <c r="F75" s="6">
        <f t="shared" si="45"/>
        <v>3.8239403819282716E-2</v>
      </c>
      <c r="G75" s="2"/>
      <c r="H75" s="7">
        <v>165</v>
      </c>
      <c r="I75" s="2"/>
      <c r="J75" s="6">
        <f t="shared" si="46"/>
        <v>6.346153846153846E-3</v>
      </c>
      <c r="K75" s="2"/>
      <c r="L75" s="7">
        <f t="shared" si="47"/>
        <v>-82.9</v>
      </c>
      <c r="M75" s="2"/>
      <c r="N75" s="6">
        <f t="shared" si="48"/>
        <v>-0.50242424242424244</v>
      </c>
      <c r="O75" s="11"/>
      <c r="P75" s="7">
        <v>1503.4</v>
      </c>
      <c r="Q75" s="2"/>
      <c r="R75" s="6">
        <f t="shared" si="49"/>
        <v>1.3544750607301967E-2</v>
      </c>
      <c r="S75" s="2"/>
      <c r="T75" s="7">
        <v>1485</v>
      </c>
      <c r="U75" s="2"/>
      <c r="V75" s="6">
        <f t="shared" si="50"/>
        <v>4.913752882900471E-3</v>
      </c>
      <c r="W75" s="2"/>
      <c r="X75" s="7">
        <f t="shared" si="51"/>
        <v>18.400000000000091</v>
      </c>
      <c r="Y75" s="2"/>
      <c r="Z75" s="6">
        <f t="shared" si="52"/>
        <v>1.2390572390572452E-2</v>
      </c>
    </row>
    <row r="76" spans="1:26" s="25" customFormat="1" outlineLevel="1" collapsed="1" x14ac:dyDescent="0.25">
      <c r="A76" s="27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SUM(OSRRefD22_11x_0)</f>
        <v>0</v>
      </c>
      <c r="E76" s="1"/>
      <c r="F76" s="5">
        <f t="shared" si="45"/>
        <v>0</v>
      </c>
      <c r="G76" s="1"/>
      <c r="H76" s="1">
        <f>SUM(OSRRefH22_11x_0)</f>
        <v>0</v>
      </c>
      <c r="I76" s="1"/>
      <c r="J76" s="5">
        <f t="shared" si="46"/>
        <v>0</v>
      </c>
      <c r="K76" s="1"/>
      <c r="L76" s="1">
        <f t="shared" si="47"/>
        <v>0</v>
      </c>
      <c r="M76" s="1"/>
      <c r="N76" s="5">
        <f t="shared" si="48"/>
        <v>0</v>
      </c>
      <c r="O76" s="13"/>
      <c r="P76" s="1">
        <f>SUM(OSRRefP22_11x_0)</f>
        <v>15.02</v>
      </c>
      <c r="Q76" s="1"/>
      <c r="R76" s="5">
        <f t="shared" si="49"/>
        <v>1.3532137429937178E-4</v>
      </c>
      <c r="S76" s="1"/>
      <c r="T76" s="1">
        <f>SUM(OSRRefT22_11x_0)</f>
        <v>0</v>
      </c>
      <c r="U76" s="1"/>
      <c r="V76" s="5">
        <f t="shared" si="50"/>
        <v>0</v>
      </c>
      <c r="W76" s="1"/>
      <c r="X76" s="1">
        <f t="shared" si="51"/>
        <v>15.02</v>
      </c>
      <c r="Y76" s="1"/>
      <c r="Z76" s="5">
        <f t="shared" si="52"/>
        <v>0</v>
      </c>
    </row>
    <row r="77" spans="1:26" s="24" customFormat="1" hidden="1" outlineLevel="2" x14ac:dyDescent="0.25">
      <c r="A77" s="26"/>
      <c r="B77" s="11" t="str">
        <f>CONCATENATE("          ", "6274", " - ", "UTILITIES")</f>
        <v xml:space="preserve">          6274 - UTILITIES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15.02</v>
      </c>
      <c r="Q77" s="2"/>
      <c r="R77" s="6">
        <f t="shared" si="49"/>
        <v>1.3532137429937178E-4</v>
      </c>
      <c r="S77" s="2"/>
      <c r="T77" s="7"/>
      <c r="U77" s="2"/>
      <c r="V77" s="6">
        <f t="shared" si="50"/>
        <v>0</v>
      </c>
      <c r="W77" s="2"/>
      <c r="X77" s="7">
        <f t="shared" si="51"/>
        <v>15.02</v>
      </c>
      <c r="Y77" s="2"/>
      <c r="Z77" s="6">
        <f t="shared" si="52"/>
        <v>0</v>
      </c>
    </row>
    <row r="78" spans="1:26" s="59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8" t="s">
        <v>293</v>
      </c>
      <c r="C79" s="10"/>
      <c r="D79" s="4">
        <f>SUM(OSRRefD25x_0)</f>
        <v>6782</v>
      </c>
      <c r="E79" s="4"/>
      <c r="F79" s="12">
        <f t="shared" ref="F79:F80" si="53">IF(D$12=0,0,D79/D$12)</f>
        <v>3.158826269212855</v>
      </c>
      <c r="G79" s="4"/>
      <c r="H79" s="4">
        <f>SUM(OSRRefH25x_0)</f>
        <v>6875</v>
      </c>
      <c r="I79" s="4"/>
      <c r="J79" s="12">
        <f t="shared" ref="J79:J80" si="54">IF(H$12=0,0,H79/H$12)</f>
        <v>0.26442307692307693</v>
      </c>
      <c r="K79" s="4"/>
      <c r="L79" s="4">
        <f t="shared" ref="L79:L80" si="55">+D79-H79</f>
        <v>-93</v>
      </c>
      <c r="M79" s="4"/>
      <c r="N79" s="12">
        <f t="shared" ref="N79:N80" si="56">IF(H79=0,0,L79/H79)</f>
        <v>-1.3527272727272728E-2</v>
      </c>
      <c r="O79" s="10"/>
      <c r="P79" s="4">
        <f>SUM(OSRRefP25x_0)</f>
        <v>61038</v>
      </c>
      <c r="Q79" s="4"/>
      <c r="R79" s="12">
        <f t="shared" ref="R79:R80" si="57">IF(P$12=0,0,P79/P$12)</f>
        <v>0.54991651427996369</v>
      </c>
      <c r="S79" s="4"/>
      <c r="T79" s="4">
        <f>SUM(OSRRefT25x_0)</f>
        <v>61875</v>
      </c>
      <c r="U79" s="4"/>
      <c r="V79" s="12">
        <f t="shared" ref="V79:V80" si="58">IF(T$12=0,0,T79/T$12)</f>
        <v>0.20473970345418629</v>
      </c>
      <c r="W79" s="4"/>
      <c r="X79" s="4">
        <f t="shared" ref="X79:X80" si="59">+P79-T79</f>
        <v>-837</v>
      </c>
      <c r="Y79" s="4"/>
      <c r="Z79" s="12">
        <f t="shared" ref="Z79:Z80" si="60">IF(T79=0,0,X79/T79)</f>
        <v>-1.3527272727272728E-2</v>
      </c>
    </row>
    <row r="80" spans="1:26" s="24" customFormat="1" hidden="1" outlineLevel="1" x14ac:dyDescent="0.25">
      <c r="A80" s="44"/>
      <c r="B80" s="11" t="str">
        <f>CONCATENATE("          ", "9150", " - ", "MISC. INCOME")</f>
        <v xml:space="preserve">          9150 - MISC. INCOME</v>
      </c>
      <c r="C80" s="11"/>
      <c r="D80" s="2">
        <f>--6782</f>
        <v>6782</v>
      </c>
      <c r="E80" s="2"/>
      <c r="F80" s="19">
        <f t="shared" si="53"/>
        <v>3.158826269212855</v>
      </c>
      <c r="G80" s="2"/>
      <c r="H80" s="2">
        <v>6875</v>
      </c>
      <c r="I80" s="2"/>
      <c r="J80" s="19">
        <f t="shared" si="54"/>
        <v>0.26442307692307693</v>
      </c>
      <c r="K80" s="2"/>
      <c r="L80" s="2">
        <f t="shared" si="55"/>
        <v>-93</v>
      </c>
      <c r="M80" s="2"/>
      <c r="N80" s="19">
        <f t="shared" si="56"/>
        <v>-1.3527272727272728E-2</v>
      </c>
      <c r="O80" s="11"/>
      <c r="P80" s="2">
        <f>--61038</f>
        <v>61038</v>
      </c>
      <c r="Q80" s="2"/>
      <c r="R80" s="19">
        <f t="shared" si="57"/>
        <v>0.54991651427996369</v>
      </c>
      <c r="S80" s="2"/>
      <c r="T80" s="2">
        <v>61875</v>
      </c>
      <c r="U80" s="2"/>
      <c r="V80" s="19">
        <f t="shared" si="58"/>
        <v>0.20473970345418629</v>
      </c>
      <c r="W80" s="2"/>
      <c r="X80" s="2">
        <f t="shared" si="59"/>
        <v>-837</v>
      </c>
      <c r="Y80" s="2"/>
      <c r="Z80" s="19">
        <f t="shared" si="60"/>
        <v>-1.3527272727272728E-2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277</v>
      </c>
      <c r="C82" s="29"/>
      <c r="D82" s="20">
        <f>+D28-D30+D79</f>
        <v>-10511.499999999989</v>
      </c>
      <c r="E82" s="14"/>
      <c r="F82" s="21">
        <f>IF(D$12=0,0,D82/D$12)</f>
        <v>-4.8959012575686955</v>
      </c>
      <c r="G82" s="14"/>
      <c r="H82" s="20">
        <f>+H28-H30+H79</f>
        <v>12591.328874507657</v>
      </c>
      <c r="I82" s="14"/>
      <c r="J82" s="21">
        <f>IF(H$12=0,0,H82/H$12)</f>
        <v>0.48428187978875603</v>
      </c>
      <c r="K82" s="16"/>
      <c r="L82" s="20">
        <f>+D82-H82</f>
        <v>-23102.828874507646</v>
      </c>
      <c r="M82" s="16"/>
      <c r="N82" s="21">
        <f>IF(H82=0,0,L82/H82)</f>
        <v>-1.8348205423560591</v>
      </c>
      <c r="O82" s="28"/>
      <c r="P82" s="20">
        <f>+P28-P30+P79</f>
        <v>-85231.88</v>
      </c>
      <c r="Q82" s="14"/>
      <c r="R82" s="21">
        <f>IF(P$12=0,0,P82/P$12)</f>
        <v>-0.7678891568388243</v>
      </c>
      <c r="S82" s="14"/>
      <c r="T82" s="20">
        <f>+T28-T30+T79</f>
        <v>85531.358449824736</v>
      </c>
      <c r="U82" s="14"/>
      <c r="V82" s="21">
        <f>IF(T$12=0,0,T82/T$12)</f>
        <v>0.28301680751597297</v>
      </c>
      <c r="W82" s="16"/>
      <c r="X82" s="20">
        <f>+P82-T82</f>
        <v>-170763.23844982474</v>
      </c>
      <c r="Y82" s="16"/>
      <c r="Z82" s="21">
        <f>IF(T82=0,0,X82/T82)</f>
        <v>-1.9964986122604329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128</v>
      </c>
      <c r="C84" s="10"/>
      <c r="D84" s="4">
        <v>1319.33</v>
      </c>
      <c r="E84" s="4"/>
      <c r="F84" s="12">
        <f>IF(D$12=0,0,D84/D$12)</f>
        <v>0.61449930135072195</v>
      </c>
      <c r="G84" s="4"/>
      <c r="H84" s="4">
        <v>5940</v>
      </c>
      <c r="I84" s="4"/>
      <c r="J84" s="12">
        <f>IF(H$12=0,0,H84/H$12)</f>
        <v>0.22846153846153847</v>
      </c>
      <c r="K84" s="4"/>
      <c r="L84" s="4">
        <f>+D84-H84</f>
        <v>-4620.67</v>
      </c>
      <c r="M84" s="4"/>
      <c r="N84" s="12">
        <f>IF(H84=0,0,L84/H84)</f>
        <v>-0.77789057239057235</v>
      </c>
      <c r="O84" s="10"/>
      <c r="P84" s="4">
        <v>22875.13</v>
      </c>
      <c r="Q84" s="4"/>
      <c r="R84" s="12">
        <f>IF(P$12=0,0,P84/P$12)</f>
        <v>0.20609147995185012</v>
      </c>
      <c r="S84" s="4"/>
      <c r="T84" s="4">
        <v>53442</v>
      </c>
      <c r="U84" s="4"/>
      <c r="V84" s="12">
        <f>IF(T$12=0,0,T84/T$12)</f>
        <v>0.1768355431434121</v>
      </c>
      <c r="W84" s="4"/>
      <c r="X84" s="4">
        <f>+P84-T84</f>
        <v>-30566.87</v>
      </c>
      <c r="Y84" s="4"/>
      <c r="Z84" s="12">
        <f>IF(T84=0,0,X84/T84)</f>
        <v>-0.57196343699711838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126</v>
      </c>
      <c r="C86" s="29"/>
      <c r="D86" s="34">
        <f>+D82-D84</f>
        <v>-11830.829999999989</v>
      </c>
      <c r="E86" s="14"/>
      <c r="F86" s="30">
        <f>IF(D$12=0,0,D86/D$12)</f>
        <v>-5.5104005589194172</v>
      </c>
      <c r="G86" s="14"/>
      <c r="H86" s="34">
        <f>+H82-H84</f>
        <v>6651.328874507657</v>
      </c>
      <c r="I86" s="14"/>
      <c r="J86" s="30">
        <f>IF(H$12=0,0,H86/H$12)</f>
        <v>0.25582034132721759</v>
      </c>
      <c r="K86" s="16"/>
      <c r="L86" s="34">
        <f>D86-H86</f>
        <v>-18482.158874507644</v>
      </c>
      <c r="M86" s="16"/>
      <c r="N86" s="30">
        <f>IF(H86=0,0,L86/H86)</f>
        <v>-2.778716738145913</v>
      </c>
      <c r="O86" s="28"/>
      <c r="P86" s="34">
        <f>+P82-P84</f>
        <v>-108107.01000000001</v>
      </c>
      <c r="Q86" s="14"/>
      <c r="R86" s="30">
        <f>IF(P$12=0,0,P86/P$12)</f>
        <v>-0.97398063679067437</v>
      </c>
      <c r="S86" s="14"/>
      <c r="T86" s="34">
        <f>+T82-T84</f>
        <v>32089.358449824736</v>
      </c>
      <c r="U86" s="14"/>
      <c r="V86" s="30">
        <f>IF(T$12=0,0,T86/T$12)</f>
        <v>0.10618126437256087</v>
      </c>
      <c r="W86" s="16"/>
      <c r="X86" s="34">
        <f>P86-T86</f>
        <v>-140196.36844982475</v>
      </c>
      <c r="Y86" s="16"/>
      <c r="Z86" s="30">
        <f>IF(T86=0,0,X86/T86)</f>
        <v>-4.3689364706071414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294</v>
      </c>
      <c r="C89" s="29"/>
      <c r="D89" s="31">
        <f>SUM(D86:D88)</f>
        <v>-11830.829999999989</v>
      </c>
      <c r="E89" s="14"/>
      <c r="F89" s="35">
        <f>IF(D$12=0,0,D89/D$12)</f>
        <v>-5.5104005589194172</v>
      </c>
      <c r="G89" s="14"/>
      <c r="H89" s="31">
        <f>SUM(H86:H88)</f>
        <v>6651.328874507657</v>
      </c>
      <c r="I89" s="14"/>
      <c r="J89" s="35">
        <f>IF(H$12=0,0,H89/H$12)</f>
        <v>0.25582034132721759</v>
      </c>
      <c r="K89" s="16"/>
      <c r="L89" s="31">
        <f>+D89-H89</f>
        <v>-18482.158874507644</v>
      </c>
      <c r="M89" s="16"/>
      <c r="N89" s="35">
        <f>IF(H89=0,0,L89/H89)</f>
        <v>-2.778716738145913</v>
      </c>
      <c r="O89" s="28"/>
      <c r="P89" s="31">
        <f>SUM(P86:P88)</f>
        <v>-108107.01000000001</v>
      </c>
      <c r="Q89" s="14"/>
      <c r="R89" s="35">
        <f>IF(P$12=0,0,P89/P$12)</f>
        <v>-0.97398063679067437</v>
      </c>
      <c r="S89" s="14"/>
      <c r="T89" s="31">
        <f>SUM(T86:T88)</f>
        <v>32089.358449824736</v>
      </c>
      <c r="U89" s="14"/>
      <c r="V89" s="35">
        <f>IF(T$12=0,0,T89/T$12)</f>
        <v>0.10618126437256087</v>
      </c>
      <c r="W89" s="16"/>
      <c r="X89" s="31">
        <f>+P89-T89</f>
        <v>-140196.36844982475</v>
      </c>
      <c r="Y89" s="16"/>
      <c r="Z89" s="35">
        <f>IF(T89=0,0,X89/T89)</f>
        <v>-4.3689364706071414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>
        <v>44295.961797766206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3" t="s">
        <v>56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429085.26</v>
      </c>
      <c r="E12" s="4"/>
      <c r="F12" s="12"/>
      <c r="G12" s="4"/>
      <c r="H12" s="4">
        <f>SUM(OSRRefH13x_0)</f>
        <v>102872</v>
      </c>
      <c r="I12" s="4"/>
      <c r="J12" s="12"/>
      <c r="K12" s="4"/>
      <c r="L12" s="4">
        <f t="shared" ref="L12:L30" si="0">+D12-H12</f>
        <v>326213.26</v>
      </c>
      <c r="M12" s="4"/>
      <c r="N12" s="12">
        <f t="shared" ref="N12:N30" si="1">IF(H12=0,0,L12/H12)</f>
        <v>3.171059763589704</v>
      </c>
      <c r="O12" s="10"/>
      <c r="P12" s="4">
        <f>SUM(OSRRefP13x_0)</f>
        <v>2019556.4600000002</v>
      </c>
      <c r="Q12" s="4"/>
      <c r="R12" s="12"/>
      <c r="S12" s="4"/>
      <c r="T12" s="4">
        <f>SUM(OSRRefT13x_0)</f>
        <v>1834503</v>
      </c>
      <c r="U12" s="4"/>
      <c r="V12" s="12"/>
      <c r="W12" s="4"/>
      <c r="X12" s="4">
        <f t="shared" ref="X12:X30" si="2">+P12-T12</f>
        <v>185053.4600000002</v>
      </c>
      <c r="Y12" s="4"/>
      <c r="Z12" s="12">
        <f t="shared" ref="Z12:Z30" si="3">IF(T12=0,0,X12/T12)</f>
        <v>0.10087389336512406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-36.19</f>
        <v>-36.19</v>
      </c>
      <c r="E13" s="2"/>
      <c r="F13" s="19"/>
      <c r="G13" s="2"/>
      <c r="H13" s="2">
        <v>83091</v>
      </c>
      <c r="I13" s="2"/>
      <c r="J13" s="19"/>
      <c r="K13" s="2"/>
      <c r="L13" s="2">
        <f t="shared" si="0"/>
        <v>-83127.19</v>
      </c>
      <c r="M13" s="2"/>
      <c r="N13" s="19">
        <f t="shared" si="1"/>
        <v>-1.0004355465694239</v>
      </c>
      <c r="O13" s="11"/>
      <c r="P13" s="2">
        <f>-2733.15</f>
        <v>-2733.15</v>
      </c>
      <c r="Q13" s="2"/>
      <c r="R13" s="19"/>
      <c r="S13" s="2"/>
      <c r="T13" s="2">
        <v>1704778</v>
      </c>
      <c r="U13" s="2"/>
      <c r="V13" s="19"/>
      <c r="W13" s="2"/>
      <c r="X13" s="2">
        <f t="shared" si="2"/>
        <v>-1707511.15</v>
      </c>
      <c r="Y13" s="2"/>
      <c r="Z13" s="19">
        <f t="shared" si="3"/>
        <v>-1.0016032292767738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--1204.4</f>
        <v>1204.4000000000001</v>
      </c>
      <c r="E14" s="2"/>
      <c r="F14" s="19"/>
      <c r="G14" s="2"/>
      <c r="H14" s="2"/>
      <c r="I14" s="2"/>
      <c r="J14" s="19"/>
      <c r="K14" s="2"/>
      <c r="L14" s="2">
        <f t="shared" si="0"/>
        <v>1204.4000000000001</v>
      </c>
      <c r="M14" s="2"/>
      <c r="N14" s="19">
        <f t="shared" si="1"/>
        <v>0</v>
      </c>
      <c r="O14" s="11"/>
      <c r="P14" s="2">
        <f>--60467.25</f>
        <v>60467.25</v>
      </c>
      <c r="Q14" s="2"/>
      <c r="R14" s="19"/>
      <c r="S14" s="2"/>
      <c r="T14" s="2"/>
      <c r="U14" s="2"/>
      <c r="V14" s="19"/>
      <c r="W14" s="2"/>
      <c r="X14" s="2">
        <f t="shared" si="2"/>
        <v>60467.25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--407027.89</f>
        <v>407027.89</v>
      </c>
      <c r="E15" s="2"/>
      <c r="F15" s="19"/>
      <c r="G15" s="2"/>
      <c r="H15" s="2"/>
      <c r="I15" s="2"/>
      <c r="J15" s="19"/>
      <c r="K15" s="2"/>
      <c r="L15" s="2">
        <f t="shared" si="0"/>
        <v>407027.89</v>
      </c>
      <c r="M15" s="2"/>
      <c r="N15" s="19">
        <f t="shared" si="1"/>
        <v>0</v>
      </c>
      <c r="O15" s="11"/>
      <c r="P15" s="2">
        <f>--1657866.36</f>
        <v>1657866.36</v>
      </c>
      <c r="Q15" s="2"/>
      <c r="R15" s="19"/>
      <c r="S15" s="2"/>
      <c r="T15" s="2"/>
      <c r="U15" s="2"/>
      <c r="V15" s="19"/>
      <c r="W15" s="2"/>
      <c r="X15" s="2">
        <f t="shared" si="2"/>
        <v>1657866.36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--22860.44</f>
        <v>22860.44</v>
      </c>
      <c r="E16" s="2"/>
      <c r="F16" s="19"/>
      <c r="G16" s="2"/>
      <c r="H16" s="2"/>
      <c r="I16" s="2"/>
      <c r="J16" s="19"/>
      <c r="K16" s="2"/>
      <c r="L16" s="2">
        <f t="shared" si="0"/>
        <v>22860.44</v>
      </c>
      <c r="M16" s="2"/>
      <c r="N16" s="19">
        <f t="shared" si="1"/>
        <v>0</v>
      </c>
      <c r="O16" s="11"/>
      <c r="P16" s="2">
        <f>--119659.27</f>
        <v>119659.27</v>
      </c>
      <c r="Q16" s="2"/>
      <c r="R16" s="19"/>
      <c r="S16" s="2"/>
      <c r="T16" s="2"/>
      <c r="U16" s="2"/>
      <c r="V16" s="19"/>
      <c r="W16" s="2"/>
      <c r="X16" s="2">
        <f t="shared" si="2"/>
        <v>119659.27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--219.98</f>
        <v>219.98</v>
      </c>
      <c r="E17" s="2"/>
      <c r="F17" s="19"/>
      <c r="G17" s="2"/>
      <c r="H17" s="2"/>
      <c r="I17" s="2"/>
      <c r="J17" s="19"/>
      <c r="K17" s="2"/>
      <c r="L17" s="2">
        <f t="shared" si="0"/>
        <v>219.98</v>
      </c>
      <c r="M17" s="2"/>
      <c r="N17" s="19">
        <f t="shared" si="1"/>
        <v>0</v>
      </c>
      <c r="O17" s="11"/>
      <c r="P17" s="2">
        <f>--3098.91</f>
        <v>3098.91</v>
      </c>
      <c r="Q17" s="2"/>
      <c r="R17" s="19"/>
      <c r="S17" s="2"/>
      <c r="T17" s="2"/>
      <c r="U17" s="2"/>
      <c r="V17" s="19"/>
      <c r="W17" s="2"/>
      <c r="X17" s="2">
        <f t="shared" si="2"/>
        <v>3098.91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--503.73</f>
        <v>503.73</v>
      </c>
      <c r="E18" s="2"/>
      <c r="F18" s="19"/>
      <c r="G18" s="2"/>
      <c r="H18" s="2"/>
      <c r="I18" s="2"/>
      <c r="J18" s="19"/>
      <c r="K18" s="2"/>
      <c r="L18" s="2">
        <f t="shared" si="0"/>
        <v>503.73</v>
      </c>
      <c r="M18" s="2"/>
      <c r="N18" s="19">
        <f t="shared" si="1"/>
        <v>0</v>
      </c>
      <c r="O18" s="11"/>
      <c r="P18" s="2">
        <f>--59450.9</f>
        <v>59450.9</v>
      </c>
      <c r="Q18" s="2"/>
      <c r="R18" s="19"/>
      <c r="S18" s="2"/>
      <c r="T18" s="2"/>
      <c r="U18" s="2"/>
      <c r="V18" s="19"/>
      <c r="W18" s="2"/>
      <c r="X18" s="2">
        <f t="shared" si="2"/>
        <v>59450.9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19781</v>
      </c>
      <c r="I19" s="2"/>
      <c r="J19" s="19"/>
      <c r="K19" s="2"/>
      <c r="L19" s="2">
        <f t="shared" si="0"/>
        <v>-19781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129725</v>
      </c>
      <c r="U19" s="2"/>
      <c r="V19" s="19"/>
      <c r="W19" s="2"/>
      <c r="X19" s="2">
        <f t="shared" si="2"/>
        <v>-129725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--285.97</f>
        <v>285.97000000000003</v>
      </c>
      <c r="E20" s="2"/>
      <c r="F20" s="19"/>
      <c r="G20" s="2"/>
      <c r="H20" s="2"/>
      <c r="I20" s="2"/>
      <c r="J20" s="19"/>
      <c r="K20" s="2"/>
      <c r="L20" s="2">
        <f t="shared" si="0"/>
        <v>285.97000000000003</v>
      </c>
      <c r="M20" s="2"/>
      <c r="N20" s="19">
        <f t="shared" si="1"/>
        <v>0</v>
      </c>
      <c r="O20" s="11"/>
      <c r="P20" s="2">
        <f>--12478.63</f>
        <v>12478.63</v>
      </c>
      <c r="Q20" s="2"/>
      <c r="R20" s="19"/>
      <c r="S20" s="2"/>
      <c r="T20" s="2"/>
      <c r="U20" s="2"/>
      <c r="V20" s="19"/>
      <c r="W20" s="2"/>
      <c r="X20" s="2">
        <f t="shared" si="2"/>
        <v>12478.63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--33767.84</f>
        <v>33767.839999999997</v>
      </c>
      <c r="E21" s="2"/>
      <c r="F21" s="19"/>
      <c r="G21" s="2"/>
      <c r="H21" s="2"/>
      <c r="I21" s="2"/>
      <c r="J21" s="19"/>
      <c r="K21" s="2"/>
      <c r="L21" s="2">
        <f t="shared" si="0"/>
        <v>33767.839999999997</v>
      </c>
      <c r="M21" s="2"/>
      <c r="N21" s="19">
        <f t="shared" si="1"/>
        <v>0</v>
      </c>
      <c r="O21" s="11"/>
      <c r="P21" s="2">
        <f>--253414.83</f>
        <v>253414.83</v>
      </c>
      <c r="Q21" s="2"/>
      <c r="R21" s="19"/>
      <c r="S21" s="2"/>
      <c r="T21" s="2"/>
      <c r="U21" s="2"/>
      <c r="V21" s="19"/>
      <c r="W21" s="2"/>
      <c r="X21" s="2">
        <f t="shared" si="2"/>
        <v>253414.83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--2983.61</f>
        <v>2983.61</v>
      </c>
      <c r="E22" s="2"/>
      <c r="F22" s="19"/>
      <c r="G22" s="2"/>
      <c r="H22" s="2"/>
      <c r="I22" s="2"/>
      <c r="J22" s="19"/>
      <c r="K22" s="2"/>
      <c r="L22" s="2">
        <f t="shared" si="0"/>
        <v>2983.61</v>
      </c>
      <c r="M22" s="2"/>
      <c r="N22" s="19">
        <f t="shared" si="1"/>
        <v>0</v>
      </c>
      <c r="O22" s="11"/>
      <c r="P22" s="2">
        <f>--16606.43</f>
        <v>16606.43</v>
      </c>
      <c r="Q22" s="2"/>
      <c r="R22" s="19"/>
      <c r="S22" s="2"/>
      <c r="T22" s="2"/>
      <c r="U22" s="2"/>
      <c r="V22" s="19"/>
      <c r="W22" s="2"/>
      <c r="X22" s="2">
        <f t="shared" si="2"/>
        <v>16606.43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--3559.59</f>
        <v>3559.59</v>
      </c>
      <c r="E23" s="2"/>
      <c r="F23" s="19"/>
      <c r="G23" s="2"/>
      <c r="H23" s="2"/>
      <c r="I23" s="2"/>
      <c r="J23" s="19"/>
      <c r="K23" s="2"/>
      <c r="L23" s="2">
        <f t="shared" si="0"/>
        <v>3559.59</v>
      </c>
      <c r="M23" s="2"/>
      <c r="N23" s="19">
        <f t="shared" si="1"/>
        <v>0</v>
      </c>
      <c r="O23" s="11"/>
      <c r="P23" s="2">
        <f>--38686.78</f>
        <v>38686.78</v>
      </c>
      <c r="Q23" s="2"/>
      <c r="R23" s="19"/>
      <c r="S23" s="2"/>
      <c r="T23" s="2"/>
      <c r="U23" s="2"/>
      <c r="V23" s="19"/>
      <c r="W23" s="2"/>
      <c r="X23" s="2">
        <f t="shared" si="2"/>
        <v>38686.78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--424.94</f>
        <v>424.94</v>
      </c>
      <c r="E24" s="2"/>
      <c r="F24" s="19"/>
      <c r="G24" s="2"/>
      <c r="H24" s="2"/>
      <c r="I24" s="2"/>
      <c r="J24" s="19"/>
      <c r="K24" s="2"/>
      <c r="L24" s="2">
        <f t="shared" si="0"/>
        <v>424.94</v>
      </c>
      <c r="M24" s="2"/>
      <c r="N24" s="19">
        <f t="shared" si="1"/>
        <v>0</v>
      </c>
      <c r="O24" s="11"/>
      <c r="P24" s="2">
        <f>--3255.2</f>
        <v>3255.2</v>
      </c>
      <c r="Q24" s="2"/>
      <c r="R24" s="19"/>
      <c r="S24" s="2"/>
      <c r="T24" s="2"/>
      <c r="U24" s="2"/>
      <c r="V24" s="19"/>
      <c r="W24" s="2"/>
      <c r="X24" s="2">
        <f t="shared" si="2"/>
        <v>3255.2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-14762.14</f>
        <v>-14762.14</v>
      </c>
      <c r="Q25" s="2"/>
      <c r="R25" s="19"/>
      <c r="S25" s="2"/>
      <c r="T25" s="2"/>
      <c r="U25" s="2"/>
      <c r="V25" s="19"/>
      <c r="W25" s="2"/>
      <c r="X25" s="2">
        <f t="shared" si="2"/>
        <v>-14762.14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-43137</f>
        <v>-43137</v>
      </c>
      <c r="E26" s="2"/>
      <c r="F26" s="19"/>
      <c r="G26" s="2"/>
      <c r="H26" s="2"/>
      <c r="I26" s="2"/>
      <c r="J26" s="19"/>
      <c r="K26" s="2"/>
      <c r="L26" s="2">
        <f t="shared" si="0"/>
        <v>-43137</v>
      </c>
      <c r="M26" s="2"/>
      <c r="N26" s="19">
        <f t="shared" si="1"/>
        <v>0</v>
      </c>
      <c r="O26" s="11"/>
      <c r="P26" s="2">
        <f>-172765.16</f>
        <v>-172765.16</v>
      </c>
      <c r="Q26" s="2"/>
      <c r="R26" s="19"/>
      <c r="S26" s="2"/>
      <c r="T26" s="2"/>
      <c r="U26" s="2"/>
      <c r="V26" s="19"/>
      <c r="W26" s="2"/>
      <c r="X26" s="2">
        <f t="shared" si="2"/>
        <v>-172765.16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-389.97</f>
        <v>-389.97</v>
      </c>
      <c r="E27" s="2"/>
      <c r="F27" s="19"/>
      <c r="G27" s="2"/>
      <c r="H27" s="2"/>
      <c r="I27" s="2"/>
      <c r="J27" s="19"/>
      <c r="K27" s="2"/>
      <c r="L27" s="2">
        <f t="shared" si="0"/>
        <v>-389.97</v>
      </c>
      <c r="M27" s="2"/>
      <c r="N27" s="19">
        <f t="shared" si="1"/>
        <v>0</v>
      </c>
      <c r="O27" s="11"/>
      <c r="P27" s="2">
        <f>-3749.25</f>
        <v>-3749.25</v>
      </c>
      <c r="Q27" s="2"/>
      <c r="R27" s="19"/>
      <c r="S27" s="2"/>
      <c r="T27" s="2"/>
      <c r="U27" s="2"/>
      <c r="V27" s="19"/>
      <c r="W27" s="2"/>
      <c r="X27" s="2">
        <f t="shared" si="2"/>
        <v>-3749.25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-149.99</f>
        <v>-149.99</v>
      </c>
      <c r="E28" s="2"/>
      <c r="F28" s="19"/>
      <c r="G28" s="2"/>
      <c r="H28" s="2"/>
      <c r="I28" s="2"/>
      <c r="J28" s="19"/>
      <c r="K28" s="2"/>
      <c r="L28" s="2">
        <f t="shared" si="0"/>
        <v>-149.99</v>
      </c>
      <c r="M28" s="2"/>
      <c r="N28" s="19">
        <f t="shared" si="1"/>
        <v>0</v>
      </c>
      <c r="O28" s="11"/>
      <c r="P28" s="2">
        <f>-991.96</f>
        <v>-991.96</v>
      </c>
      <c r="Q28" s="2"/>
      <c r="R28" s="19"/>
      <c r="S28" s="2"/>
      <c r="T28" s="2"/>
      <c r="U28" s="2"/>
      <c r="V28" s="19"/>
      <c r="W28" s="2"/>
      <c r="X28" s="2">
        <f t="shared" si="2"/>
        <v>-991.96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-39.98</f>
        <v>-39.979999999999997</v>
      </c>
      <c r="E29" s="2"/>
      <c r="F29" s="19"/>
      <c r="G29" s="2"/>
      <c r="H29" s="2"/>
      <c r="I29" s="2"/>
      <c r="J29" s="19"/>
      <c r="K29" s="2"/>
      <c r="L29" s="2">
        <f t="shared" si="0"/>
        <v>-39.979999999999997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257</v>
      </c>
      <c r="C32" s="10"/>
      <c r="D32" s="4">
        <f>SUM(OSRRefD16x_0)</f>
        <v>356026</v>
      </c>
      <c r="E32" s="4"/>
      <c r="F32" s="12">
        <f t="shared" ref="F32:F46" si="4">IF(D$12=0,0,D32/D$12)</f>
        <v>0.82973253380924805</v>
      </c>
      <c r="G32" s="4"/>
      <c r="H32" s="4">
        <f>SUM(OSRRefH16x_0)</f>
        <v>80339</v>
      </c>
      <c r="I32" s="4"/>
      <c r="J32" s="12">
        <f t="shared" ref="J32:J46" si="5">IF(H$12=0,0,H32/H$12)</f>
        <v>0.78096080566140447</v>
      </c>
      <c r="K32" s="4"/>
      <c r="L32" s="4">
        <f t="shared" ref="L32:L46" si="6">+D32-H32</f>
        <v>275687</v>
      </c>
      <c r="M32" s="4"/>
      <c r="N32" s="12">
        <f t="shared" ref="N32:N46" si="7">IF(H32=0,0,L32/H32)</f>
        <v>3.4315463224585816</v>
      </c>
      <c r="O32" s="10"/>
      <c r="P32" s="4">
        <f>SUM(OSRRefP16x_0)</f>
        <v>1864521.84</v>
      </c>
      <c r="Q32" s="4"/>
      <c r="R32" s="12">
        <f t="shared" ref="R32:R46" si="8">IF(P$12=0,0,P32/P$12)</f>
        <v>0.92323333213472025</v>
      </c>
      <c r="S32" s="4"/>
      <c r="T32" s="4">
        <f>SUM(OSRRefT16x_0)</f>
        <v>1432679</v>
      </c>
      <c r="U32" s="4"/>
      <c r="V32" s="12">
        <f t="shared" ref="V32:V46" si="9">IF(T$12=0,0,T32/T$12)</f>
        <v>0.78096301832158355</v>
      </c>
      <c r="W32" s="4"/>
      <c r="X32" s="4">
        <f t="shared" ref="X32:X46" si="10">+P32-T32</f>
        <v>431842.84000000008</v>
      </c>
      <c r="Y32" s="4"/>
      <c r="Z32" s="12">
        <f t="shared" ref="Z32:Z46" si="11">IF(T32=0,0,X32/T32)</f>
        <v>0.30142330556949609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4"/>
        <v>0</v>
      </c>
      <c r="G33" s="2"/>
      <c r="H33" s="2">
        <v>80339</v>
      </c>
      <c r="I33" s="2"/>
      <c r="J33" s="19">
        <f t="shared" si="5"/>
        <v>0.78096080566140447</v>
      </c>
      <c r="K33" s="2"/>
      <c r="L33" s="2">
        <f t="shared" si="6"/>
        <v>-80339</v>
      </c>
      <c r="M33" s="2"/>
      <c r="N33" s="19">
        <f t="shared" si="7"/>
        <v>-1</v>
      </c>
      <c r="O33" s="11"/>
      <c r="P33" s="2">
        <v>0</v>
      </c>
      <c r="Q33" s="2"/>
      <c r="R33" s="19">
        <f t="shared" si="8"/>
        <v>0</v>
      </c>
      <c r="S33" s="2"/>
      <c r="T33" s="2">
        <v>1432679</v>
      </c>
      <c r="U33" s="2"/>
      <c r="V33" s="19">
        <f t="shared" si="9"/>
        <v>0.78096301832158355</v>
      </c>
      <c r="W33" s="2"/>
      <c r="X33" s="2">
        <f t="shared" si="10"/>
        <v>-1432679</v>
      </c>
      <c r="Y33" s="2"/>
      <c r="Z33" s="19">
        <f t="shared" si="11"/>
        <v>-1</v>
      </c>
    </row>
    <row r="34" spans="1:26" s="24" customFormat="1" hidden="1" outlineLevel="1" x14ac:dyDescent="0.25">
      <c r="A34" s="44"/>
      <c r="B34" s="11" t="str">
        <f>CONCATENATE("          ", "5081", " - ", "PURCHASES @ COST-ELECTRONICS")</f>
        <v xml:space="preserve">          5081 - PURCHASES @ COST-ELECTRONICS</v>
      </c>
      <c r="C34" s="11"/>
      <c r="D34" s="2">
        <v>309.97000000000003</v>
      </c>
      <c r="E34" s="2"/>
      <c r="F34" s="19">
        <f t="shared" si="4"/>
        <v>7.2239722240750013E-4</v>
      </c>
      <c r="G34" s="2"/>
      <c r="H34" s="2"/>
      <c r="I34" s="2"/>
      <c r="J34" s="19">
        <f t="shared" si="5"/>
        <v>0</v>
      </c>
      <c r="K34" s="2"/>
      <c r="L34" s="2">
        <f t="shared" si="6"/>
        <v>309.97000000000003</v>
      </c>
      <c r="M34" s="2"/>
      <c r="N34" s="19">
        <f t="shared" si="7"/>
        <v>0</v>
      </c>
      <c r="O34" s="11"/>
      <c r="P34" s="2">
        <v>32467.87</v>
      </c>
      <c r="Q34" s="2"/>
      <c r="R34" s="19">
        <f t="shared" si="8"/>
        <v>1.6076733007008872E-2</v>
      </c>
      <c r="S34" s="2"/>
      <c r="T34" s="2"/>
      <c r="U34" s="2"/>
      <c r="V34" s="19">
        <f t="shared" si="9"/>
        <v>0</v>
      </c>
      <c r="W34" s="2"/>
      <c r="X34" s="2">
        <f t="shared" si="10"/>
        <v>32467.87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132715.92000000001</v>
      </c>
      <c r="E35" s="2"/>
      <c r="F35" s="19">
        <f t="shared" si="4"/>
        <v>0.30929964827969159</v>
      </c>
      <c r="G35" s="2"/>
      <c r="H35" s="2"/>
      <c r="I35" s="2"/>
      <c r="J35" s="19">
        <f t="shared" si="5"/>
        <v>0</v>
      </c>
      <c r="K35" s="2"/>
      <c r="L35" s="2">
        <f t="shared" si="6"/>
        <v>132715.92000000001</v>
      </c>
      <c r="M35" s="2"/>
      <c r="N35" s="19">
        <f t="shared" si="7"/>
        <v>0</v>
      </c>
      <c r="O35" s="11"/>
      <c r="P35" s="2">
        <v>1396293.76</v>
      </c>
      <c r="Q35" s="2"/>
      <c r="R35" s="19">
        <f t="shared" si="8"/>
        <v>0.69138634529682819</v>
      </c>
      <c r="S35" s="2"/>
      <c r="T35" s="2"/>
      <c r="U35" s="2"/>
      <c r="V35" s="19">
        <f t="shared" si="9"/>
        <v>0</v>
      </c>
      <c r="W35" s="2"/>
      <c r="X35" s="2">
        <f t="shared" si="10"/>
        <v>1396293.76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6015.06</v>
      </c>
      <c r="E36" s="2"/>
      <c r="F36" s="19">
        <f t="shared" si="4"/>
        <v>1.4018332860000831E-2</v>
      </c>
      <c r="G36" s="2"/>
      <c r="H36" s="2"/>
      <c r="I36" s="2"/>
      <c r="J36" s="19">
        <f t="shared" si="5"/>
        <v>0</v>
      </c>
      <c r="K36" s="2"/>
      <c r="L36" s="2">
        <f t="shared" si="6"/>
        <v>6015.06</v>
      </c>
      <c r="M36" s="2"/>
      <c r="N36" s="19">
        <f t="shared" si="7"/>
        <v>0</v>
      </c>
      <c r="O36" s="11"/>
      <c r="P36" s="2">
        <v>105203.33</v>
      </c>
      <c r="Q36" s="2"/>
      <c r="R36" s="19">
        <f t="shared" si="8"/>
        <v>5.2092294562539734E-2</v>
      </c>
      <c r="S36" s="2"/>
      <c r="T36" s="2"/>
      <c r="U36" s="2"/>
      <c r="V36" s="19">
        <f t="shared" si="9"/>
        <v>0</v>
      </c>
      <c r="W36" s="2"/>
      <c r="X36" s="2">
        <f t="shared" si="10"/>
        <v>105203.33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"5085", " - ", "PURCHASES @ COST-SOFTWARE")</f>
        <v xml:space="preserve">          5085 - PURCHASES @ COST-SOFTWARE</v>
      </c>
      <c r="C37" s="11"/>
      <c r="D37" s="2">
        <v>3753.26</v>
      </c>
      <c r="E37" s="2"/>
      <c r="F37" s="19">
        <f t="shared" si="4"/>
        <v>8.7471193953388201E-3</v>
      </c>
      <c r="G37" s="2"/>
      <c r="H37" s="2"/>
      <c r="I37" s="2"/>
      <c r="J37" s="19">
        <f t="shared" si="5"/>
        <v>0</v>
      </c>
      <c r="K37" s="2"/>
      <c r="L37" s="2">
        <f t="shared" si="6"/>
        <v>3753.26</v>
      </c>
      <c r="M37" s="2"/>
      <c r="N37" s="19">
        <f t="shared" si="7"/>
        <v>0</v>
      </c>
      <c r="O37" s="11"/>
      <c r="P37" s="2">
        <v>33898.71</v>
      </c>
      <c r="Q37" s="2"/>
      <c r="R37" s="19">
        <f t="shared" si="8"/>
        <v>1.6785225207321015E-2</v>
      </c>
      <c r="S37" s="2"/>
      <c r="T37" s="2"/>
      <c r="U37" s="2"/>
      <c r="V37" s="19">
        <f t="shared" si="9"/>
        <v>0</v>
      </c>
      <c r="W37" s="2"/>
      <c r="X37" s="2">
        <f t="shared" si="10"/>
        <v>33898.71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525.71</v>
      </c>
      <c r="E38" s="2"/>
      <c r="F38" s="19">
        <f t="shared" si="4"/>
        <v>1.2251877400775782E-3</v>
      </c>
      <c r="G38" s="2"/>
      <c r="H38" s="2"/>
      <c r="I38" s="2"/>
      <c r="J38" s="19">
        <f t="shared" si="5"/>
        <v>0</v>
      </c>
      <c r="K38" s="2"/>
      <c r="L38" s="2">
        <f t="shared" si="6"/>
        <v>525.71</v>
      </c>
      <c r="M38" s="2"/>
      <c r="N38" s="19">
        <f t="shared" si="7"/>
        <v>0</v>
      </c>
      <c r="O38" s="11"/>
      <c r="P38" s="2">
        <v>23650.99</v>
      </c>
      <c r="Q38" s="2"/>
      <c r="R38" s="19">
        <f t="shared" si="8"/>
        <v>1.1710982321336041E-2</v>
      </c>
      <c r="S38" s="2"/>
      <c r="T38" s="2"/>
      <c r="U38" s="2"/>
      <c r="V38" s="19">
        <f t="shared" si="9"/>
        <v>0</v>
      </c>
      <c r="W38" s="2"/>
      <c r="X38" s="2">
        <f t="shared" si="10"/>
        <v>23650.99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"5200", " - ", "PURCHASES OFFSET")</f>
        <v xml:space="preserve">          5200 - PURCHASES OFFSET</v>
      </c>
      <c r="C39" s="11"/>
      <c r="D39" s="2">
        <v>-143329.32999999999</v>
      </c>
      <c r="E39" s="2"/>
      <c r="F39" s="19">
        <f t="shared" si="4"/>
        <v>-0.33403461587098093</v>
      </c>
      <c r="G39" s="2"/>
      <c r="H39" s="2"/>
      <c r="I39" s="2"/>
      <c r="J39" s="19">
        <f t="shared" si="5"/>
        <v>0</v>
      </c>
      <c r="K39" s="2"/>
      <c r="L39" s="2">
        <f t="shared" si="6"/>
        <v>-143329.32999999999</v>
      </c>
      <c r="M39" s="2"/>
      <c r="N39" s="19">
        <f t="shared" si="7"/>
        <v>0</v>
      </c>
      <c r="O39" s="11"/>
      <c r="P39" s="2">
        <v>-1588000.81</v>
      </c>
      <c r="Q39" s="2"/>
      <c r="R39" s="19">
        <f t="shared" si="8"/>
        <v>-0.78631166865223456</v>
      </c>
      <c r="S39" s="2"/>
      <c r="T39" s="2"/>
      <c r="U39" s="2"/>
      <c r="V39" s="19">
        <f t="shared" si="9"/>
        <v>0</v>
      </c>
      <c r="W39" s="2"/>
      <c r="X39" s="2">
        <f t="shared" si="10"/>
        <v>-1588000.81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"5300", " - ", "COG$ OFFSET")</f>
        <v xml:space="preserve">          5300 - COG$ OFFSET</v>
      </c>
      <c r="C40" s="11"/>
      <c r="D40" s="2">
        <v>356026</v>
      </c>
      <c r="E40" s="2"/>
      <c r="F40" s="19">
        <f t="shared" si="4"/>
        <v>0.82973253380924805</v>
      </c>
      <c r="G40" s="2"/>
      <c r="H40" s="2"/>
      <c r="I40" s="2"/>
      <c r="J40" s="19">
        <f t="shared" si="5"/>
        <v>0</v>
      </c>
      <c r="K40" s="2"/>
      <c r="L40" s="2">
        <f t="shared" si="6"/>
        <v>356026</v>
      </c>
      <c r="M40" s="2"/>
      <c r="N40" s="19">
        <f t="shared" si="7"/>
        <v>0</v>
      </c>
      <c r="O40" s="11"/>
      <c r="P40" s="2">
        <v>1860576</v>
      </c>
      <c r="Q40" s="2"/>
      <c r="R40" s="19">
        <f t="shared" si="8"/>
        <v>0.92127951698859656</v>
      </c>
      <c r="S40" s="2"/>
      <c r="T40" s="2"/>
      <c r="U40" s="2"/>
      <c r="V40" s="19">
        <f t="shared" si="9"/>
        <v>0</v>
      </c>
      <c r="W40" s="2"/>
      <c r="X40" s="2">
        <f t="shared" si="10"/>
        <v>1860576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"5500", " - ", "FREIGHT-IN")</f>
        <v xml:space="preserve">          5500 - FREIGHT-IN</v>
      </c>
      <c r="C41" s="11"/>
      <c r="D41" s="2"/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"5581", " - ", "FREIGHT-IN-ELECTRONICS")</f>
        <v xml:space="preserve">          5581 - FREIGHT-IN-ELECTRONICS</v>
      </c>
      <c r="C42" s="11"/>
      <c r="D42" s="2"/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31</v>
      </c>
      <c r="Q42" s="2"/>
      <c r="R42" s="19">
        <f t="shared" si="8"/>
        <v>1.534990509747868E-5</v>
      </c>
      <c r="S42" s="2"/>
      <c r="T42" s="2"/>
      <c r="U42" s="2"/>
      <c r="V42" s="19">
        <f t="shared" si="9"/>
        <v>0</v>
      </c>
      <c r="W42" s="2"/>
      <c r="X42" s="2">
        <f t="shared" si="10"/>
        <v>31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"5582", " - ", "FREIGHT-IN-COMPUTER HARDWARE")</f>
        <v xml:space="preserve">          5582 - FREIGHT-IN-COMPUTER HARDWARE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125</v>
      </c>
      <c r="Q43" s="2"/>
      <c r="R43" s="19">
        <f t="shared" si="8"/>
        <v>6.1894778618865645E-5</v>
      </c>
      <c r="S43" s="2"/>
      <c r="T43" s="2"/>
      <c r="U43" s="2"/>
      <c r="V43" s="19">
        <f t="shared" si="9"/>
        <v>0</v>
      </c>
      <c r="W43" s="2"/>
      <c r="X43" s="2">
        <f t="shared" si="10"/>
        <v>125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"5583", " - ", "FREIGHT-IN-COMPUTER EQUIPMENT")</f>
        <v xml:space="preserve">          5583 - FREIGHT-IN-COMPUTER EQUIPMENT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242.46</v>
      </c>
      <c r="Q44" s="2"/>
      <c r="R44" s="19">
        <f t="shared" si="8"/>
        <v>1.2005606419144131E-4</v>
      </c>
      <c r="S44" s="2"/>
      <c r="T44" s="2"/>
      <c r="U44" s="2"/>
      <c r="V44" s="19">
        <f t="shared" si="9"/>
        <v>0</v>
      </c>
      <c r="W44" s="2"/>
      <c r="X44" s="2">
        <f t="shared" si="10"/>
        <v>242.46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"5585", " - ", "FREIGHT-IN-SOFTWARE")</f>
        <v xml:space="preserve">          5585 - FREIGHT-IN-SOFTWARE</v>
      </c>
      <c r="C45" s="11"/>
      <c r="D45" s="2">
        <v>9.41</v>
      </c>
      <c r="E45" s="2"/>
      <c r="F45" s="19">
        <f t="shared" si="4"/>
        <v>2.1930373464704893E-5</v>
      </c>
      <c r="G45" s="2"/>
      <c r="H45" s="2"/>
      <c r="I45" s="2"/>
      <c r="J45" s="19">
        <f t="shared" si="5"/>
        <v>0</v>
      </c>
      <c r="K45" s="2"/>
      <c r="L45" s="2">
        <f t="shared" si="6"/>
        <v>9.41</v>
      </c>
      <c r="M45" s="2"/>
      <c r="N45" s="19">
        <f t="shared" si="7"/>
        <v>0</v>
      </c>
      <c r="O45" s="11"/>
      <c r="P45" s="2">
        <v>9.41</v>
      </c>
      <c r="Q45" s="2"/>
      <c r="R45" s="19">
        <f t="shared" si="8"/>
        <v>4.6594389344282054E-6</v>
      </c>
      <c r="S45" s="2"/>
      <c r="T45" s="2"/>
      <c r="U45" s="2"/>
      <c r="V45" s="19">
        <f t="shared" si="9"/>
        <v>0</v>
      </c>
      <c r="W45" s="2"/>
      <c r="X45" s="2">
        <f t="shared" si="10"/>
        <v>9.41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"5586", " - ", "FREIGHT-IN-COMPUTER SUPPLIES")</f>
        <v xml:space="preserve">          5586 - FREIGHT-IN-COMPUTER SUPPLIES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24.12</v>
      </c>
      <c r="Q46" s="2"/>
      <c r="R46" s="19">
        <f t="shared" si="8"/>
        <v>1.1943216482296315E-5</v>
      </c>
      <c r="S46" s="2"/>
      <c r="T46" s="2"/>
      <c r="U46" s="2"/>
      <c r="V46" s="19">
        <f t="shared" si="9"/>
        <v>0</v>
      </c>
      <c r="W46" s="2"/>
      <c r="X46" s="2">
        <f t="shared" si="10"/>
        <v>24.12</v>
      </c>
      <c r="Y46" s="2"/>
      <c r="Z46" s="19">
        <f t="shared" si="11"/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9" t="s">
        <v>108</v>
      </c>
      <c r="C48" s="29"/>
      <c r="D48" s="20">
        <f>D12-D32</f>
        <v>73059.260000000009</v>
      </c>
      <c r="E48" s="14"/>
      <c r="F48" s="21">
        <f>IF(D$12=0,0,D48/D$12)</f>
        <v>0.17026746619075195</v>
      </c>
      <c r="G48" s="14"/>
      <c r="H48" s="20">
        <f>H12-H32</f>
        <v>22533</v>
      </c>
      <c r="I48" s="14"/>
      <c r="J48" s="21">
        <f>IF(H$12=0,0,H48/H$12)</f>
        <v>0.21903919433859553</v>
      </c>
      <c r="K48" s="16"/>
      <c r="L48" s="20">
        <f>+D48-H48</f>
        <v>50526.260000000009</v>
      </c>
      <c r="M48" s="16"/>
      <c r="N48" s="21">
        <f>IF(H48=0,0,L48/H48)</f>
        <v>2.242322815426264</v>
      </c>
      <c r="O48" s="28"/>
      <c r="P48" s="20">
        <f>P12-P32</f>
        <v>155034.62000000011</v>
      </c>
      <c r="Q48" s="14"/>
      <c r="R48" s="21">
        <f>IF(P$12=0,0,P48/P$12)</f>
        <v>7.6766667865279734E-2</v>
      </c>
      <c r="S48" s="14"/>
      <c r="T48" s="20">
        <f>T12-T32</f>
        <v>401824</v>
      </c>
      <c r="U48" s="14"/>
      <c r="V48" s="21">
        <f>IF(T$12=0,0,T48/T$12)</f>
        <v>0.21903698167841645</v>
      </c>
      <c r="W48" s="16"/>
      <c r="X48" s="20">
        <f>+P48-T48</f>
        <v>-246789.37999999989</v>
      </c>
      <c r="Y48" s="16"/>
      <c r="Z48" s="21">
        <f>IF(T48=0,0,X48/T48)</f>
        <v>-0.61417282193198985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8" t="s">
        <v>295</v>
      </c>
      <c r="C50" s="10"/>
      <c r="D50" s="22">
        <f>SUM(OSRRefD22x_0)</f>
        <v>16950.63</v>
      </c>
      <c r="E50" s="22"/>
      <c r="F50" s="32">
        <f t="shared" ref="F50:F61" si="12">IF(D$12=0,0,D50/D$12)</f>
        <v>3.9504106946018143E-2</v>
      </c>
      <c r="G50" s="22"/>
      <c r="H50" s="22">
        <f>SUM(OSRRefH22x_0)</f>
        <v>17540.237852846156</v>
      </c>
      <c r="I50" s="22"/>
      <c r="J50" s="32">
        <f t="shared" ref="J50:J61" si="13">IF(H$12=0,0,H50/H$12)</f>
        <v>0.17050546166931874</v>
      </c>
      <c r="K50" s="4"/>
      <c r="L50" s="22">
        <f t="shared" ref="L50:L61" si="14">+D50-H50</f>
        <v>-589.60785284615486</v>
      </c>
      <c r="M50" s="4"/>
      <c r="N50" s="32">
        <f t="shared" ref="N50:N61" si="15">IF(H50=0,0,L50/H50)</f>
        <v>-3.3614587087853115E-2</v>
      </c>
      <c r="O50" s="10"/>
      <c r="P50" s="22">
        <f>SUM(OSRRefP22x_0)</f>
        <v>124058.65000000001</v>
      </c>
      <c r="Q50" s="22"/>
      <c r="R50" s="32">
        <f t="shared" ref="R50:R61" si="16">IF(P$12=0,0,P50/P$12)</f>
        <v>6.1428661420042698E-2</v>
      </c>
      <c r="S50" s="22"/>
      <c r="T50" s="22">
        <f>SUM(OSRRefT22x_0)</f>
        <v>174810.69463234997</v>
      </c>
      <c r="U50" s="22"/>
      <c r="V50" s="32">
        <f t="shared" ref="V50:V61" si="17">IF(T$12=0,0,T50/T$12)</f>
        <v>9.5290492646973035E-2</v>
      </c>
      <c r="W50" s="4"/>
      <c r="X50" s="22">
        <f t="shared" ref="X50:X61" si="18">+P50-T50</f>
        <v>-50752.044632349964</v>
      </c>
      <c r="Y50" s="4"/>
      <c r="Z50" s="32">
        <f t="shared" ref="Z50:Z61" si="19">IF(T50=0,0,X50/T50)</f>
        <v>-0.29032574202103728</v>
      </c>
    </row>
    <row r="51" spans="1:26" s="25" customFormat="1" outlineLevel="1" collapsed="1" x14ac:dyDescent="0.25">
      <c r="A51" s="27"/>
      <c r="B51" s="13" t="str">
        <f>CONCATENATE("     ","*Benefits                                         ")</f>
        <v xml:space="preserve">     *Benefits                                         </v>
      </c>
      <c r="C51" s="13"/>
      <c r="D51" s="1">
        <f>SUM(OSRRefD22_0x_0)</f>
        <v>2924.3900000000003</v>
      </c>
      <c r="E51" s="1"/>
      <c r="F51" s="5">
        <f t="shared" si="12"/>
        <v>6.8154054045109829E-3</v>
      </c>
      <c r="G51" s="1"/>
      <c r="H51" s="1">
        <f>SUM(OSRRefH22_0x_0)</f>
        <v>2471.2478528461543</v>
      </c>
      <c r="I51" s="1"/>
      <c r="J51" s="5">
        <f t="shared" si="13"/>
        <v>2.4022550867545633E-2</v>
      </c>
      <c r="K51" s="1"/>
      <c r="L51" s="1">
        <f t="shared" si="14"/>
        <v>453.14214715384605</v>
      </c>
      <c r="M51" s="1"/>
      <c r="N51" s="5">
        <f t="shared" si="15"/>
        <v>0.18336572215205324</v>
      </c>
      <c r="O51" s="13"/>
      <c r="P51" s="1">
        <f>SUM(OSRRefP22_0x_0)</f>
        <v>26222.32</v>
      </c>
      <c r="Q51" s="1"/>
      <c r="R51" s="5">
        <f t="shared" si="16"/>
        <v>1.2984197530184424E-2</v>
      </c>
      <c r="S51" s="1"/>
      <c r="T51" s="1">
        <f>SUM(OSRRefT22_0x_0)</f>
        <v>23630.98096234999</v>
      </c>
      <c r="U51" s="1"/>
      <c r="V51" s="5">
        <f t="shared" si="17"/>
        <v>1.2881407641388424E-2</v>
      </c>
      <c r="W51" s="1"/>
      <c r="X51" s="1">
        <f t="shared" si="18"/>
        <v>2591.3390376500101</v>
      </c>
      <c r="Y51" s="1"/>
      <c r="Z51" s="5">
        <f t="shared" si="19"/>
        <v>0.10965854704798991</v>
      </c>
    </row>
    <row r="52" spans="1:26" s="24" customFormat="1" hidden="1" outlineLevel="2" x14ac:dyDescent="0.25">
      <c r="A52" s="26"/>
      <c r="B52" s="11" t="str">
        <f>CONCATENATE("          ", "6111", " - ", "F.I.C.A.")</f>
        <v xml:space="preserve">          6111 - F.I.C.A.</v>
      </c>
      <c r="C52" s="11"/>
      <c r="D52" s="7">
        <v>449.24</v>
      </c>
      <c r="E52" s="2"/>
      <c r="F52" s="6">
        <f t="shared" si="12"/>
        <v>1.0469714107634459E-3</v>
      </c>
      <c r="G52" s="2"/>
      <c r="H52" s="7">
        <v>425.68281899999999</v>
      </c>
      <c r="I52" s="2"/>
      <c r="J52" s="6">
        <f t="shared" si="13"/>
        <v>4.1379852535189362E-3</v>
      </c>
      <c r="K52" s="2"/>
      <c r="L52" s="7">
        <f t="shared" si="14"/>
        <v>23.557181000000014</v>
      </c>
      <c r="M52" s="2"/>
      <c r="N52" s="6">
        <f t="shared" si="15"/>
        <v>5.5339750510344218E-2</v>
      </c>
      <c r="O52" s="11"/>
      <c r="P52" s="7">
        <v>4738.08</v>
      </c>
      <c r="Q52" s="2"/>
      <c r="R52" s="6">
        <f t="shared" si="16"/>
        <v>2.3460993014277993E-3</v>
      </c>
      <c r="S52" s="2"/>
      <c r="T52" s="7">
        <v>4577.7510052500002</v>
      </c>
      <c r="U52" s="2"/>
      <c r="V52" s="6">
        <f t="shared" si="17"/>
        <v>2.4953630521454585E-3</v>
      </c>
      <c r="W52" s="2"/>
      <c r="X52" s="7">
        <f t="shared" si="18"/>
        <v>160.32899474999977</v>
      </c>
      <c r="Y52" s="2"/>
      <c r="Z52" s="6">
        <f t="shared" si="19"/>
        <v>3.502352892634969E-2</v>
      </c>
    </row>
    <row r="53" spans="1:26" s="24" customFormat="1" hidden="1" outlineLevel="2" x14ac:dyDescent="0.25">
      <c r="A53" s="26"/>
      <c r="B53" s="11" t="str">
        <f>CONCATENATE("          ", "6112", " - ", "COMPENSATION INSURANCE")</f>
        <v xml:space="preserve">          6112 - COMPENSATION INSURANCE</v>
      </c>
      <c r="C53" s="11"/>
      <c r="D53" s="7">
        <v>184.54</v>
      </c>
      <c r="E53" s="2"/>
      <c r="F53" s="6">
        <f t="shared" si="12"/>
        <v>4.3007769598051444E-4</v>
      </c>
      <c r="G53" s="2"/>
      <c r="H53" s="7">
        <v>213.17179999999999</v>
      </c>
      <c r="I53" s="2"/>
      <c r="J53" s="6">
        <f t="shared" si="13"/>
        <v>2.0722042927132749E-3</v>
      </c>
      <c r="K53" s="2"/>
      <c r="L53" s="7">
        <f t="shared" si="14"/>
        <v>-28.631799999999998</v>
      </c>
      <c r="M53" s="2"/>
      <c r="N53" s="6">
        <f t="shared" si="15"/>
        <v>-0.13431326282369432</v>
      </c>
      <c r="O53" s="11"/>
      <c r="P53" s="7">
        <v>1358.75</v>
      </c>
      <c r="Q53" s="2"/>
      <c r="R53" s="6">
        <f t="shared" si="16"/>
        <v>6.727962435870696E-4</v>
      </c>
      <c r="S53" s="2"/>
      <c r="T53" s="7">
        <v>1893.6407784999999</v>
      </c>
      <c r="U53" s="2"/>
      <c r="V53" s="6">
        <f t="shared" si="17"/>
        <v>1.0322364032656255E-3</v>
      </c>
      <c r="W53" s="2"/>
      <c r="X53" s="7">
        <f t="shared" si="18"/>
        <v>-534.8907784999999</v>
      </c>
      <c r="Y53" s="2"/>
      <c r="Z53" s="6">
        <f t="shared" si="19"/>
        <v>-0.28246686730294235</v>
      </c>
    </row>
    <row r="54" spans="1:26" s="24" customFormat="1" hidden="1" outlineLevel="2" x14ac:dyDescent="0.25">
      <c r="A54" s="26"/>
      <c r="B54" s="11" t="str">
        <f>CONCATENATE("          ", "6113", " - ", "GROUP INSURANCE")</f>
        <v xml:space="preserve">          6113 - GROUP INSURANCE</v>
      </c>
      <c r="C54" s="11"/>
      <c r="D54" s="7">
        <v>1053.8499999999999</v>
      </c>
      <c r="E54" s="2"/>
      <c r="F54" s="6">
        <f t="shared" si="12"/>
        <v>2.4560386903059775E-3</v>
      </c>
      <c r="G54" s="2"/>
      <c r="H54" s="7">
        <v>946.34615384615404</v>
      </c>
      <c r="I54" s="2"/>
      <c r="J54" s="6">
        <f t="shared" si="13"/>
        <v>9.1992588250073299E-3</v>
      </c>
      <c r="K54" s="2"/>
      <c r="L54" s="7">
        <f t="shared" si="14"/>
        <v>107.50384615384587</v>
      </c>
      <c r="M54" s="2"/>
      <c r="N54" s="6">
        <f t="shared" si="15"/>
        <v>0.11359886201991433</v>
      </c>
      <c r="O54" s="11"/>
      <c r="P54" s="7">
        <v>9376.33</v>
      </c>
      <c r="Q54" s="2"/>
      <c r="R54" s="6">
        <f t="shared" si="16"/>
        <v>4.6427669568594281E-3</v>
      </c>
      <c r="S54" s="2"/>
      <c r="T54" s="7">
        <v>8977.4999999999909</v>
      </c>
      <c r="U54" s="2"/>
      <c r="V54" s="6">
        <f t="shared" si="17"/>
        <v>4.8936960037677729E-3</v>
      </c>
      <c r="W54" s="2"/>
      <c r="X54" s="7">
        <f t="shared" si="18"/>
        <v>398.83000000000902</v>
      </c>
      <c r="Y54" s="2"/>
      <c r="Z54" s="6">
        <f t="shared" si="19"/>
        <v>4.4425508214982951E-2</v>
      </c>
    </row>
    <row r="55" spans="1:26" s="24" customFormat="1" hidden="1" outlineLevel="2" x14ac:dyDescent="0.25">
      <c r="A55" s="26"/>
      <c r="B55" s="11" t="str">
        <f>CONCATENATE("          ", "6114", " - ", "STATE UNEMPLOYMENT INSURANCE")</f>
        <v xml:space="preserve">          6114 - STATE UNEMPLOYMENT INSURANCE</v>
      </c>
      <c r="C55" s="11"/>
      <c r="D55" s="7">
        <v>25.93</v>
      </c>
      <c r="E55" s="2"/>
      <c r="F55" s="6">
        <f t="shared" si="12"/>
        <v>6.0430880333666088E-5</v>
      </c>
      <c r="G55" s="2"/>
      <c r="H55" s="7">
        <v>29.95928</v>
      </c>
      <c r="I55" s="2"/>
      <c r="J55" s="6">
        <f t="shared" si="13"/>
        <v>2.9122871140835213E-4</v>
      </c>
      <c r="K55" s="2"/>
      <c r="L55" s="7">
        <f t="shared" si="14"/>
        <v>-4.02928</v>
      </c>
      <c r="M55" s="2"/>
      <c r="N55" s="6">
        <f t="shared" si="15"/>
        <v>-0.13449188365007436</v>
      </c>
      <c r="O55" s="11"/>
      <c r="P55" s="7">
        <v>205.66</v>
      </c>
      <c r="Q55" s="2"/>
      <c r="R55" s="6">
        <f t="shared" si="16"/>
        <v>1.0183424136604727E-4</v>
      </c>
      <c r="S55" s="2"/>
      <c r="T55" s="7">
        <v>266.13329859999999</v>
      </c>
      <c r="U55" s="2"/>
      <c r="V55" s="6">
        <f t="shared" si="17"/>
        <v>1.4507106208057441E-4</v>
      </c>
      <c r="W55" s="2"/>
      <c r="X55" s="7">
        <f t="shared" si="18"/>
        <v>-60.473298599999993</v>
      </c>
      <c r="Y55" s="2"/>
      <c r="Z55" s="6">
        <f t="shared" si="19"/>
        <v>-0.22722935806274938</v>
      </c>
    </row>
    <row r="56" spans="1:26" s="24" customFormat="1" hidden="1" outlineLevel="2" x14ac:dyDescent="0.25">
      <c r="A56" s="26"/>
      <c r="B56" s="11" t="str">
        <f>CONCATENATE("          ", "6115", " - ", "P.E.R.S.")</f>
        <v xml:space="preserve">          6115 - P.E.R.S.</v>
      </c>
      <c r="C56" s="11"/>
      <c r="D56" s="7">
        <v>176.42</v>
      </c>
      <c r="E56" s="2"/>
      <c r="F56" s="6">
        <f t="shared" si="12"/>
        <v>4.1115371802797419E-4</v>
      </c>
      <c r="G56" s="2"/>
      <c r="H56" s="7">
        <v>196.27780000000001</v>
      </c>
      <c r="I56" s="2"/>
      <c r="J56" s="6">
        <f t="shared" si="13"/>
        <v>1.9079807916634265E-3</v>
      </c>
      <c r="K56" s="2"/>
      <c r="L56" s="7">
        <f t="shared" si="14"/>
        <v>-19.857800000000026</v>
      </c>
      <c r="M56" s="2"/>
      <c r="N56" s="6">
        <f t="shared" si="15"/>
        <v>-0.10117191042491827</v>
      </c>
      <c r="O56" s="11"/>
      <c r="P56" s="7">
        <v>1764.2</v>
      </c>
      <c r="Q56" s="2"/>
      <c r="R56" s="6">
        <f t="shared" si="16"/>
        <v>8.7355814751522212E-4</v>
      </c>
      <c r="S56" s="2"/>
      <c r="T56" s="7">
        <v>1913.7085500000001</v>
      </c>
      <c r="U56" s="2"/>
      <c r="V56" s="6">
        <f t="shared" si="17"/>
        <v>1.0431754813156478E-3</v>
      </c>
      <c r="W56" s="2"/>
      <c r="X56" s="7">
        <f t="shared" si="18"/>
        <v>-149.50855000000001</v>
      </c>
      <c r="Y56" s="2"/>
      <c r="Z56" s="6">
        <f t="shared" si="19"/>
        <v>-7.8125036333249395E-2</v>
      </c>
    </row>
    <row r="57" spans="1:26" s="24" customFormat="1" hidden="1" outlineLevel="2" x14ac:dyDescent="0.25">
      <c r="A57" s="26"/>
      <c r="B57" s="11" t="str">
        <f>CONCATENATE("          ", "6116", " - ", "EDUCATIONAL BENEFITS")</f>
        <v xml:space="preserve">          6116 - EDUCATIONAL BENEFITS</v>
      </c>
      <c r="C57" s="11"/>
      <c r="D57" s="7"/>
      <c r="E57" s="2"/>
      <c r="F57" s="6">
        <f t="shared" si="12"/>
        <v>0</v>
      </c>
      <c r="G57" s="2"/>
      <c r="H57" s="7">
        <v>0</v>
      </c>
      <c r="I57" s="2"/>
      <c r="J57" s="6">
        <f t="shared" si="13"/>
        <v>0</v>
      </c>
      <c r="K57" s="2"/>
      <c r="L57" s="7">
        <f t="shared" si="14"/>
        <v>0</v>
      </c>
      <c r="M57" s="2"/>
      <c r="N57" s="6">
        <f t="shared" si="15"/>
        <v>0</v>
      </c>
      <c r="O57" s="11"/>
      <c r="P57" s="7"/>
      <c r="Q57" s="2"/>
      <c r="R57" s="6">
        <f t="shared" si="16"/>
        <v>0</v>
      </c>
      <c r="S57" s="2"/>
      <c r="T57" s="7">
        <v>0</v>
      </c>
      <c r="U57" s="2"/>
      <c r="V57" s="6">
        <f t="shared" si="17"/>
        <v>0</v>
      </c>
      <c r="W57" s="2"/>
      <c r="X57" s="7">
        <f t="shared" si="18"/>
        <v>0</v>
      </c>
      <c r="Y57" s="2"/>
      <c r="Z57" s="6">
        <f t="shared" si="19"/>
        <v>0</v>
      </c>
    </row>
    <row r="58" spans="1:26" s="24" customFormat="1" hidden="1" outlineLevel="2" x14ac:dyDescent="0.25">
      <c r="A58" s="26"/>
      <c r="B58" s="11" t="str">
        <f>CONCATENATE("          ", "6117", " - ", "RETIREMENT STAFF HOURLY")</f>
        <v xml:space="preserve">          6117 - RETIREMENT STAFF HOURLY</v>
      </c>
      <c r="C58" s="11"/>
      <c r="D58" s="7">
        <v>264</v>
      </c>
      <c r="E58" s="2"/>
      <c r="F58" s="6">
        <f t="shared" si="12"/>
        <v>6.1526233737322971E-4</v>
      </c>
      <c r="G58" s="2"/>
      <c r="H58" s="7"/>
      <c r="I58" s="2"/>
      <c r="J58" s="6">
        <f t="shared" si="13"/>
        <v>0</v>
      </c>
      <c r="K58" s="2"/>
      <c r="L58" s="7">
        <f t="shared" si="14"/>
        <v>264</v>
      </c>
      <c r="M58" s="2"/>
      <c r="N58" s="6">
        <f t="shared" si="15"/>
        <v>0</v>
      </c>
      <c r="O58" s="11"/>
      <c r="P58" s="7">
        <v>1721.04</v>
      </c>
      <c r="Q58" s="2"/>
      <c r="R58" s="6">
        <f t="shared" si="16"/>
        <v>8.5218711835370023E-4</v>
      </c>
      <c r="S58" s="2"/>
      <c r="T58" s="7"/>
      <c r="U58" s="2"/>
      <c r="V58" s="6">
        <f t="shared" si="17"/>
        <v>0</v>
      </c>
      <c r="W58" s="2"/>
      <c r="X58" s="7">
        <f t="shared" si="18"/>
        <v>1721.04</v>
      </c>
      <c r="Y58" s="2"/>
      <c r="Z58" s="6">
        <f t="shared" si="19"/>
        <v>0</v>
      </c>
    </row>
    <row r="59" spans="1:26" s="24" customFormat="1" hidden="1" outlineLevel="2" x14ac:dyDescent="0.25">
      <c r="A59" s="26"/>
      <c r="B59" s="11" t="str">
        <f>CONCATENATE("          ", "6118", " - ", "VACATION")</f>
        <v xml:space="preserve">          6118 - VACATION</v>
      </c>
      <c r="C59" s="11"/>
      <c r="D59" s="7">
        <v>267.04000000000002</v>
      </c>
      <c r="E59" s="2"/>
      <c r="F59" s="6">
        <f t="shared" si="12"/>
        <v>6.2234717640964881E-4</v>
      </c>
      <c r="G59" s="2"/>
      <c r="H59" s="7">
        <v>194.749</v>
      </c>
      <c r="I59" s="2"/>
      <c r="J59" s="6">
        <f t="shared" si="13"/>
        <v>1.8931196049459522E-3</v>
      </c>
      <c r="K59" s="2"/>
      <c r="L59" s="7">
        <f t="shared" si="14"/>
        <v>72.291000000000025</v>
      </c>
      <c r="M59" s="2"/>
      <c r="N59" s="6">
        <f t="shared" si="15"/>
        <v>0.37120087908025218</v>
      </c>
      <c r="O59" s="11"/>
      <c r="P59" s="7">
        <v>2490.66</v>
      </c>
      <c r="Q59" s="2"/>
      <c r="R59" s="6">
        <f t="shared" si="16"/>
        <v>1.2332707945189112E-3</v>
      </c>
      <c r="S59" s="2"/>
      <c r="T59" s="7">
        <v>1898.8027500000001</v>
      </c>
      <c r="U59" s="2"/>
      <c r="V59" s="6">
        <f t="shared" si="17"/>
        <v>1.0350502288630763E-3</v>
      </c>
      <c r="W59" s="2"/>
      <c r="X59" s="7">
        <f t="shared" si="18"/>
        <v>591.85724999999979</v>
      </c>
      <c r="Y59" s="2"/>
      <c r="Z59" s="6">
        <f t="shared" si="19"/>
        <v>0.31170022794626762</v>
      </c>
    </row>
    <row r="60" spans="1:26" s="24" customFormat="1" hidden="1" outlineLevel="2" x14ac:dyDescent="0.25">
      <c r="A60" s="26"/>
      <c r="B60" s="11" t="str">
        <f>CONCATENATE("          ", "6119", " - ", "SICK LEAVE")</f>
        <v xml:space="preserve">          6119 - SICK LEAVE</v>
      </c>
      <c r="C60" s="11"/>
      <c r="D60" s="7">
        <v>267.63</v>
      </c>
      <c r="E60" s="2"/>
      <c r="F60" s="6">
        <f t="shared" si="12"/>
        <v>6.2372219451211166E-4</v>
      </c>
      <c r="G60" s="2"/>
      <c r="H60" s="7">
        <v>290.06099999999998</v>
      </c>
      <c r="I60" s="2"/>
      <c r="J60" s="6">
        <f t="shared" si="13"/>
        <v>2.8196302200793216E-3</v>
      </c>
      <c r="K60" s="2"/>
      <c r="L60" s="7">
        <f t="shared" si="14"/>
        <v>-22.430999999999983</v>
      </c>
      <c r="M60" s="2"/>
      <c r="N60" s="6">
        <f t="shared" si="15"/>
        <v>-7.7332009473869243E-2</v>
      </c>
      <c r="O60" s="11"/>
      <c r="P60" s="7">
        <v>2487.1799999999998</v>
      </c>
      <c r="Q60" s="2"/>
      <c r="R60" s="6">
        <f t="shared" si="16"/>
        <v>1.2315476438821619E-3</v>
      </c>
      <c r="S60" s="2"/>
      <c r="T60" s="7">
        <v>2528.4445799999999</v>
      </c>
      <c r="U60" s="2"/>
      <c r="V60" s="6">
        <f t="shared" si="17"/>
        <v>1.3782722513945194E-3</v>
      </c>
      <c r="W60" s="2"/>
      <c r="X60" s="7">
        <f t="shared" si="18"/>
        <v>-41.264580000000024</v>
      </c>
      <c r="Y60" s="2"/>
      <c r="Z60" s="6">
        <f t="shared" si="19"/>
        <v>-1.6320144141739514E-2</v>
      </c>
    </row>
    <row r="61" spans="1:26" s="24" customFormat="1" hidden="1" outlineLevel="2" x14ac:dyDescent="0.25">
      <c r="A61" s="26"/>
      <c r="B61" s="11" t="str">
        <f>CONCATENATE("          ", "6156", " - ", "EMPLOYEE MEALS")</f>
        <v xml:space="preserve">          6156 - EMPLOYEE MEALS</v>
      </c>
      <c r="C61" s="11"/>
      <c r="D61" s="7">
        <v>235.74</v>
      </c>
      <c r="E61" s="2"/>
      <c r="F61" s="6">
        <f t="shared" si="12"/>
        <v>5.4940130080441353E-4</v>
      </c>
      <c r="G61" s="2"/>
      <c r="H61" s="7">
        <v>175</v>
      </c>
      <c r="I61" s="2"/>
      <c r="J61" s="6">
        <f t="shared" si="13"/>
        <v>1.7011431682090366E-3</v>
      </c>
      <c r="K61" s="2"/>
      <c r="L61" s="7">
        <f t="shared" si="14"/>
        <v>60.740000000000009</v>
      </c>
      <c r="M61" s="2"/>
      <c r="N61" s="6">
        <f t="shared" si="15"/>
        <v>0.34708571428571433</v>
      </c>
      <c r="O61" s="11"/>
      <c r="P61" s="7">
        <v>2080.42</v>
      </c>
      <c r="Q61" s="2"/>
      <c r="R61" s="6">
        <f t="shared" si="16"/>
        <v>1.0301370826740837E-3</v>
      </c>
      <c r="S61" s="2"/>
      <c r="T61" s="7">
        <v>1575</v>
      </c>
      <c r="U61" s="2"/>
      <c r="V61" s="6">
        <f t="shared" si="17"/>
        <v>8.5854315855575047E-4</v>
      </c>
      <c r="W61" s="2"/>
      <c r="X61" s="7">
        <f t="shared" si="18"/>
        <v>505.42000000000007</v>
      </c>
      <c r="Y61" s="2"/>
      <c r="Z61" s="6">
        <f t="shared" si="19"/>
        <v>0.32090158730158735</v>
      </c>
    </row>
    <row r="62" spans="1:26" s="25" customFormat="1" outlineLevel="1" collapsed="1" x14ac:dyDescent="0.25">
      <c r="A62" s="27"/>
      <c r="B62" s="13" t="str">
        <f>CONCATENATE("     ","*Payroll                                          ")</f>
        <v xml:space="preserve">     *Payroll                                          </v>
      </c>
      <c r="C62" s="13"/>
      <c r="D62" s="1">
        <f>SUM(OSRRefD22_1x_0)</f>
        <v>8405.5</v>
      </c>
      <c r="E62" s="1"/>
      <c r="F62" s="5">
        <f t="shared" ref="F62:F72" si="20">IF(D$12=0,0,D62/D$12)</f>
        <v>1.9589346881782887E-2</v>
      </c>
      <c r="G62" s="1"/>
      <c r="H62" s="1">
        <f>SUM(OSRRefH22_1x_0)</f>
        <v>11037.990000000002</v>
      </c>
      <c r="I62" s="1"/>
      <c r="J62" s="5">
        <f t="shared" ref="J62:J72" si="21">IF(H$12=0,0,H62/H$12)</f>
        <v>0.10729829302434095</v>
      </c>
      <c r="K62" s="1"/>
      <c r="L62" s="1">
        <f t="shared" ref="L62:L72" si="22">+D62-H62</f>
        <v>-2632.4900000000016</v>
      </c>
      <c r="M62" s="1"/>
      <c r="N62" s="5">
        <f t="shared" ref="N62:N72" si="23">IF(H62=0,0,L62/H62)</f>
        <v>-0.23849360254901492</v>
      </c>
      <c r="O62" s="13"/>
      <c r="P62" s="1">
        <f>SUM(OSRRefP22_1x_0)</f>
        <v>73810.960000000006</v>
      </c>
      <c r="Q62" s="1"/>
      <c r="R62" s="5">
        <f t="shared" ref="R62:R72" si="24">IF(P$12=0,0,P62/P$12)</f>
        <v>3.6548104230767584E-2</v>
      </c>
      <c r="S62" s="1"/>
      <c r="T62" s="1">
        <f>SUM(OSRRefT22_1x_0)</f>
        <v>97931.713669999997</v>
      </c>
      <c r="U62" s="1"/>
      <c r="V62" s="5">
        <f t="shared" ref="V62:V72" si="25">IF(T$12=0,0,T62/T$12)</f>
        <v>5.3383239858424872E-2</v>
      </c>
      <c r="W62" s="1"/>
      <c r="X62" s="1">
        <f t="shared" ref="X62:X72" si="26">+P62-T62</f>
        <v>-24120.753669999991</v>
      </c>
      <c r="Y62" s="1"/>
      <c r="Z62" s="5">
        <f t="shared" ref="Z62:Z72" si="27">IF(T62=0,0,X62/T62)</f>
        <v>-0.24630176238189372</v>
      </c>
    </row>
    <row r="63" spans="1:26" s="24" customFormat="1" hidden="1" outlineLevel="2" x14ac:dyDescent="0.25">
      <c r="A63" s="26"/>
      <c r="B63" s="11" t="str">
        <f>CONCATENATE("          ", "6001", " - ", "ADMINISTRATIVE SALARIES")</f>
        <v xml:space="preserve">          6001 - ADMINISTRATIVE SALARIES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7">
        <v>2357.3000000000002</v>
      </c>
      <c r="E64" s="2"/>
      <c r="F64" s="6">
        <f t="shared" si="20"/>
        <v>5.4937799541284645E-3</v>
      </c>
      <c r="G64" s="2"/>
      <c r="H64" s="7">
        <v>2168.1849999999999</v>
      </c>
      <c r="I64" s="2"/>
      <c r="J64" s="6">
        <f t="shared" si="21"/>
        <v>2.1076532000933196E-2</v>
      </c>
      <c r="K64" s="2"/>
      <c r="L64" s="7">
        <f t="shared" si="22"/>
        <v>189.11500000000024</v>
      </c>
      <c r="M64" s="2"/>
      <c r="N64" s="6">
        <f t="shared" si="23"/>
        <v>8.7222723153236578E-2</v>
      </c>
      <c r="O64" s="11"/>
      <c r="P64" s="7">
        <v>20880.25</v>
      </c>
      <c r="Q64" s="2"/>
      <c r="R64" s="6">
        <f t="shared" si="24"/>
        <v>1.0339027610052554E-2</v>
      </c>
      <c r="S64" s="2"/>
      <c r="T64" s="7">
        <v>21139.803749999999</v>
      </c>
      <c r="U64" s="2"/>
      <c r="V64" s="6">
        <f t="shared" si="25"/>
        <v>1.1523450084300762E-2</v>
      </c>
      <c r="W64" s="2"/>
      <c r="X64" s="7">
        <f t="shared" si="26"/>
        <v>-259.55374999999913</v>
      </c>
      <c r="Y64" s="2"/>
      <c r="Z64" s="6">
        <f t="shared" si="27"/>
        <v>-1.2277964027929973E-2</v>
      </c>
    </row>
    <row r="65" spans="1:26" s="24" customFormat="1" hidden="1" outlineLevel="2" x14ac:dyDescent="0.25">
      <c r="A65" s="26"/>
      <c r="B65" s="11" t="str">
        <f>CONCATENATE("          ", "6003", " - ", "STAFF HOURLY-9 MONTH")</f>
        <v xml:space="preserve">          6003 - STAFF HOURLY-9 MONTH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>
        <v>3520</v>
      </c>
      <c r="E66" s="2"/>
      <c r="F66" s="6">
        <f t="shared" si="20"/>
        <v>8.2034978316430623E-3</v>
      </c>
      <c r="G66" s="2"/>
      <c r="H66" s="7">
        <v>3088.12</v>
      </c>
      <c r="I66" s="2"/>
      <c r="J66" s="6">
        <f t="shared" si="21"/>
        <v>3.001905280348394E-2</v>
      </c>
      <c r="K66" s="2"/>
      <c r="L66" s="7">
        <f t="shared" si="22"/>
        <v>431.88000000000011</v>
      </c>
      <c r="M66" s="2"/>
      <c r="N66" s="6">
        <f t="shared" si="23"/>
        <v>0.13985207828711324</v>
      </c>
      <c r="O66" s="11"/>
      <c r="P66" s="7">
        <v>31720.16</v>
      </c>
      <c r="Q66" s="2"/>
      <c r="R66" s="6">
        <f t="shared" si="24"/>
        <v>1.5706498247639977E-2</v>
      </c>
      <c r="S66" s="2"/>
      <c r="T66" s="7">
        <v>30109.17</v>
      </c>
      <c r="U66" s="2"/>
      <c r="V66" s="6">
        <f t="shared" si="25"/>
        <v>1.6412712325899713E-2</v>
      </c>
      <c r="W66" s="2"/>
      <c r="X66" s="7">
        <f t="shared" si="26"/>
        <v>1610.9900000000016</v>
      </c>
      <c r="Y66" s="2"/>
      <c r="Z66" s="6">
        <f t="shared" si="27"/>
        <v>5.3504962109550074E-2</v>
      </c>
    </row>
    <row r="67" spans="1:26" s="24" customFormat="1" hidden="1" outlineLevel="2" x14ac:dyDescent="0.25">
      <c r="A67" s="26"/>
      <c r="B67" s="11" t="str">
        <f>CONCATENATE("          ", "6005", " - ", "TEMPORARY WAGES-HOURLY")</f>
        <v xml:space="preserve">          6005 - TEMPORARY WAGES-HOURLY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6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6"/>
      <c r="B69" s="11" t="str">
        <f>CONCATENATE("          ", "6007", " - ", "STUDENT HOURLY")</f>
        <v xml:space="preserve">          6007 - STUDENT HOURLY</v>
      </c>
      <c r="C69" s="11"/>
      <c r="D69" s="7">
        <v>2528.1999999999998</v>
      </c>
      <c r="E69" s="2"/>
      <c r="F69" s="6">
        <f t="shared" si="20"/>
        <v>5.892069096011361E-3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2528.1999999999998</v>
      </c>
      <c r="M69" s="2"/>
      <c r="N69" s="6">
        <f t="shared" si="23"/>
        <v>0</v>
      </c>
      <c r="O69" s="11"/>
      <c r="P69" s="7">
        <v>21210.55</v>
      </c>
      <c r="Q69" s="2"/>
      <c r="R69" s="6">
        <f t="shared" si="24"/>
        <v>1.0502578373075045E-2</v>
      </c>
      <c r="S69" s="2"/>
      <c r="T69" s="7">
        <v>5416.48</v>
      </c>
      <c r="U69" s="2"/>
      <c r="V69" s="6">
        <f t="shared" si="25"/>
        <v>2.9525599031454295E-3</v>
      </c>
      <c r="W69" s="2"/>
      <c r="X69" s="7">
        <f t="shared" si="26"/>
        <v>15794.07</v>
      </c>
      <c r="Y69" s="2"/>
      <c r="Z69" s="6">
        <f t="shared" si="27"/>
        <v>2.9159287950846307</v>
      </c>
    </row>
    <row r="70" spans="1:26" s="24" customFormat="1" hidden="1" outlineLevel="2" x14ac:dyDescent="0.25">
      <c r="A70" s="26"/>
      <c r="B70" s="11" t="str">
        <f>CONCATENATE("          ", "6008", " - ", "STUDENT HOURLY-FICA EXEMPT")</f>
        <v xml:space="preserve">          6008 - STUDENT HOURLY-FICA EXEMPT</v>
      </c>
      <c r="C70" s="11"/>
      <c r="D70" s="7"/>
      <c r="E70" s="2"/>
      <c r="F70" s="6">
        <f t="shared" si="20"/>
        <v>0</v>
      </c>
      <c r="G70" s="2"/>
      <c r="H70" s="7">
        <v>5781.6850000000004</v>
      </c>
      <c r="I70" s="2"/>
      <c r="J70" s="6">
        <f t="shared" si="21"/>
        <v>5.6202708219923792E-2</v>
      </c>
      <c r="K70" s="2"/>
      <c r="L70" s="7">
        <f t="shared" si="22"/>
        <v>-5781.6850000000004</v>
      </c>
      <c r="M70" s="2"/>
      <c r="N70" s="6">
        <f t="shared" si="23"/>
        <v>-1</v>
      </c>
      <c r="O70" s="11"/>
      <c r="P70" s="7"/>
      <c r="Q70" s="2"/>
      <c r="R70" s="6">
        <f t="shared" si="24"/>
        <v>0</v>
      </c>
      <c r="S70" s="2"/>
      <c r="T70" s="7">
        <v>41266.259919999997</v>
      </c>
      <c r="U70" s="2"/>
      <c r="V70" s="6">
        <f t="shared" si="25"/>
        <v>2.2494517545078967E-2</v>
      </c>
      <c r="W70" s="2"/>
      <c r="X70" s="7">
        <f t="shared" si="26"/>
        <v>-41266.259919999997</v>
      </c>
      <c r="Y70" s="2"/>
      <c r="Z70" s="6">
        <f t="shared" si="27"/>
        <v>-1</v>
      </c>
    </row>
    <row r="71" spans="1:26" s="24" customFormat="1" hidden="1" outlineLevel="2" x14ac:dyDescent="0.25">
      <c r="A71" s="26"/>
      <c r="B71" s="11" t="str">
        <f>CONCATENATE("          ", "6009", " - ", "TEMPORARY-SEASONAL")</f>
        <v xml:space="preserve">          6009 - TEMPORARY-SEASONAL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4" customFormat="1" hidden="1" outlineLevel="2" x14ac:dyDescent="0.25">
      <c r="A72" s="26"/>
      <c r="B72" s="11" t="str">
        <f>CONCATENATE("          ", "6010", " - ", "GRATUITY")</f>
        <v xml:space="preserve">          6010 - GRATUITY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3" si="28">IF(D$12=0,0,D73/D$12)</f>
        <v>0</v>
      </c>
      <c r="G73" s="1"/>
      <c r="H73" s="1">
        <f>SUM(OSRRefH22_2x_0)</f>
        <v>200</v>
      </c>
      <c r="I73" s="1"/>
      <c r="J73" s="5">
        <f t="shared" ref="J73:J83" si="29">IF(H$12=0,0,H73/H$12)</f>
        <v>1.9441636208103275E-3</v>
      </c>
      <c r="K73" s="1"/>
      <c r="L73" s="1">
        <f t="shared" ref="L73:L83" si="30">+D73-H73</f>
        <v>-200</v>
      </c>
      <c r="M73" s="1"/>
      <c r="N73" s="5">
        <f t="shared" ref="N73:N83" si="31">IF(H73=0,0,L73/H73)</f>
        <v>-1</v>
      </c>
      <c r="O73" s="13"/>
      <c r="P73" s="1">
        <f>SUM(OSRRefP22_2x_0)</f>
        <v>598.92999999999995</v>
      </c>
      <c r="Q73" s="1"/>
      <c r="R73" s="5">
        <f t="shared" ref="R73:R83" si="32">IF(P$12=0,0,P73/P$12)</f>
        <v>2.965651180655776E-4</v>
      </c>
      <c r="S73" s="1"/>
      <c r="T73" s="1">
        <f>SUM(OSRRefT22_2x_0)</f>
        <v>1800</v>
      </c>
      <c r="U73" s="1"/>
      <c r="V73" s="5">
        <f t="shared" ref="V73:V83" si="33">IF(T$12=0,0,T73/T$12)</f>
        <v>9.8119218120657197E-4</v>
      </c>
      <c r="W73" s="1"/>
      <c r="X73" s="1">
        <f t="shared" ref="X73:X83" si="34">+P73-T73</f>
        <v>-1201.0700000000002</v>
      </c>
      <c r="Y73" s="1"/>
      <c r="Z73" s="5">
        <f t="shared" ref="Z73:Z83" si="35">IF(T73=0,0,X73/T73)</f>
        <v>-0.66726111111111119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7"/>
      <c r="E74" s="2"/>
      <c r="F74" s="6">
        <f t="shared" si="28"/>
        <v>0</v>
      </c>
      <c r="G74" s="2"/>
      <c r="H74" s="7">
        <v>200</v>
      </c>
      <c r="I74" s="2"/>
      <c r="J74" s="6">
        <f t="shared" si="29"/>
        <v>1.9441636208103275E-3</v>
      </c>
      <c r="K74" s="2"/>
      <c r="L74" s="7">
        <f t="shared" si="30"/>
        <v>-200</v>
      </c>
      <c r="M74" s="2"/>
      <c r="N74" s="6">
        <f t="shared" si="31"/>
        <v>-1</v>
      </c>
      <c r="O74" s="11"/>
      <c r="P74" s="7">
        <v>598.92999999999995</v>
      </c>
      <c r="Q74" s="2"/>
      <c r="R74" s="6">
        <f t="shared" si="32"/>
        <v>2.965651180655776E-4</v>
      </c>
      <c r="S74" s="2"/>
      <c r="T74" s="7">
        <v>1800</v>
      </c>
      <c r="U74" s="2"/>
      <c r="V74" s="6">
        <f t="shared" si="33"/>
        <v>9.8119218120657197E-4</v>
      </c>
      <c r="W74" s="2"/>
      <c r="X74" s="7">
        <f t="shared" si="34"/>
        <v>-1201.0700000000002</v>
      </c>
      <c r="Y74" s="2"/>
      <c r="Z74" s="6">
        <f t="shared" si="35"/>
        <v>-0.66726111111111119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28"/>
        <v>6.5357640110965353E-4</v>
      </c>
      <c r="G75" s="1"/>
      <c r="H75" s="1">
        <f>SUM(OSRRefH22_3x_0)</f>
        <v>300</v>
      </c>
      <c r="I75" s="1"/>
      <c r="J75" s="5">
        <f t="shared" si="29"/>
        <v>2.9162454312154913E-3</v>
      </c>
      <c r="K75" s="1"/>
      <c r="L75" s="1">
        <f t="shared" si="30"/>
        <v>-19.560000000000002</v>
      </c>
      <c r="M75" s="1"/>
      <c r="N75" s="5">
        <f t="shared" si="31"/>
        <v>-6.5200000000000008E-2</v>
      </c>
      <c r="O75" s="13"/>
      <c r="P75" s="1">
        <f>SUM(OSRRefP22_3x_0)</f>
        <v>2523.96</v>
      </c>
      <c r="Q75" s="1"/>
      <c r="R75" s="5">
        <f t="shared" si="32"/>
        <v>1.2497595635429771E-3</v>
      </c>
      <c r="S75" s="1"/>
      <c r="T75" s="1">
        <f>SUM(OSRRefT22_3x_0)</f>
        <v>2700</v>
      </c>
      <c r="U75" s="1"/>
      <c r="V75" s="5">
        <f t="shared" si="33"/>
        <v>1.471788271809858E-3</v>
      </c>
      <c r="W75" s="1"/>
      <c r="X75" s="1">
        <f t="shared" si="34"/>
        <v>-176.03999999999996</v>
      </c>
      <c r="Y75" s="1"/>
      <c r="Z75" s="5">
        <f t="shared" si="35"/>
        <v>-6.519999999999998E-2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28"/>
        <v>6.5357640110965353E-4</v>
      </c>
      <c r="G76" s="2"/>
      <c r="H76" s="7">
        <v>300</v>
      </c>
      <c r="I76" s="2"/>
      <c r="J76" s="6">
        <f t="shared" si="29"/>
        <v>2.9162454312154913E-3</v>
      </c>
      <c r="K76" s="2"/>
      <c r="L76" s="7">
        <f t="shared" si="30"/>
        <v>-19.560000000000002</v>
      </c>
      <c r="M76" s="2"/>
      <c r="N76" s="6">
        <f t="shared" si="31"/>
        <v>-6.5200000000000008E-2</v>
      </c>
      <c r="O76" s="11"/>
      <c r="P76" s="7">
        <v>2523.96</v>
      </c>
      <c r="Q76" s="2"/>
      <c r="R76" s="6">
        <f t="shared" si="32"/>
        <v>1.2497595635429771E-3</v>
      </c>
      <c r="S76" s="2"/>
      <c r="T76" s="7">
        <v>2700</v>
      </c>
      <c r="U76" s="2"/>
      <c r="V76" s="6">
        <f t="shared" si="33"/>
        <v>1.471788271809858E-3</v>
      </c>
      <c r="W76" s="2"/>
      <c r="X76" s="7">
        <f t="shared" si="34"/>
        <v>-176.03999999999996</v>
      </c>
      <c r="Y76" s="2"/>
      <c r="Z76" s="6">
        <f t="shared" si="35"/>
        <v>-6.519999999999998E-2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28"/>
        <v>0</v>
      </c>
      <c r="G77" s="1"/>
      <c r="H77" s="1">
        <f>SUM(OSRRefH22_4x_0)</f>
        <v>1636</v>
      </c>
      <c r="I77" s="1"/>
      <c r="J77" s="5">
        <f t="shared" si="29"/>
        <v>1.590325841822848E-2</v>
      </c>
      <c r="K77" s="1"/>
      <c r="L77" s="1">
        <f t="shared" si="30"/>
        <v>-1636</v>
      </c>
      <c r="M77" s="1"/>
      <c r="N77" s="5">
        <f t="shared" si="31"/>
        <v>-1</v>
      </c>
      <c r="O77" s="13"/>
      <c r="P77" s="1">
        <f>SUM(OSRRefP22_4x_0)</f>
        <v>0</v>
      </c>
      <c r="Q77" s="1"/>
      <c r="R77" s="5">
        <f t="shared" si="32"/>
        <v>0</v>
      </c>
      <c r="S77" s="1"/>
      <c r="T77" s="1">
        <f>SUM(OSRRefT22_4x_0)</f>
        <v>29178</v>
      </c>
      <c r="U77" s="1"/>
      <c r="V77" s="5">
        <f t="shared" si="33"/>
        <v>1.5905125257358533E-2</v>
      </c>
      <c r="W77" s="1"/>
      <c r="X77" s="1">
        <f t="shared" si="34"/>
        <v>-29178</v>
      </c>
      <c r="Y77" s="1"/>
      <c r="Z77" s="5">
        <f t="shared" si="35"/>
        <v>-1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7">
        <v>0</v>
      </c>
      <c r="E78" s="2"/>
      <c r="F78" s="6">
        <f t="shared" si="28"/>
        <v>0</v>
      </c>
      <c r="G78" s="2"/>
      <c r="H78" s="7">
        <v>1636</v>
      </c>
      <c r="I78" s="2"/>
      <c r="J78" s="6">
        <f t="shared" si="29"/>
        <v>1.590325841822848E-2</v>
      </c>
      <c r="K78" s="2"/>
      <c r="L78" s="7">
        <f t="shared" si="30"/>
        <v>-1636</v>
      </c>
      <c r="M78" s="2"/>
      <c r="N78" s="6">
        <f t="shared" si="31"/>
        <v>-1</v>
      </c>
      <c r="O78" s="11"/>
      <c r="P78" s="7">
        <v>0</v>
      </c>
      <c r="Q78" s="2"/>
      <c r="R78" s="6">
        <f t="shared" si="32"/>
        <v>0</v>
      </c>
      <c r="S78" s="2"/>
      <c r="T78" s="7">
        <v>29178</v>
      </c>
      <c r="U78" s="2"/>
      <c r="V78" s="6">
        <f t="shared" si="33"/>
        <v>1.5905125257358533E-2</v>
      </c>
      <c r="W78" s="2"/>
      <c r="X78" s="7">
        <f t="shared" si="34"/>
        <v>-29178</v>
      </c>
      <c r="Y78" s="2"/>
      <c r="Z78" s="6">
        <f t="shared" si="35"/>
        <v>-1</v>
      </c>
    </row>
    <row r="79" spans="1:26" s="25" customFormat="1" outlineLevel="1" collapsed="1" x14ac:dyDescent="0.25">
      <c r="A79" s="27"/>
      <c r="B79" s="13" t="str">
        <f>CONCATENATE("     ","Employees' Appreciation                           ")</f>
        <v xml:space="preserve">     Employees' Appreciation                           </v>
      </c>
      <c r="C79" s="13"/>
      <c r="D79" s="1">
        <f>SUM(OSRRefD22_5x_0)</f>
        <v>0</v>
      </c>
      <c r="E79" s="1"/>
      <c r="F79" s="5">
        <f t="shared" si="28"/>
        <v>0</v>
      </c>
      <c r="G79" s="1"/>
      <c r="H79" s="1">
        <f>SUM(OSRRefH22_5x_0)</f>
        <v>20</v>
      </c>
      <c r="I79" s="1"/>
      <c r="J79" s="5">
        <f t="shared" si="29"/>
        <v>1.9441636208103274E-4</v>
      </c>
      <c r="K79" s="1"/>
      <c r="L79" s="1">
        <f t="shared" si="30"/>
        <v>-20</v>
      </c>
      <c r="M79" s="1"/>
      <c r="N79" s="5">
        <f t="shared" si="31"/>
        <v>-1</v>
      </c>
      <c r="O79" s="13"/>
      <c r="P79" s="1">
        <f>SUM(OSRRefP22_5x_0)</f>
        <v>0</v>
      </c>
      <c r="Q79" s="1"/>
      <c r="R79" s="5">
        <f t="shared" si="32"/>
        <v>0</v>
      </c>
      <c r="S79" s="1"/>
      <c r="T79" s="1">
        <f>SUM(OSRRefT22_5x_0)</f>
        <v>180</v>
      </c>
      <c r="U79" s="1"/>
      <c r="V79" s="5">
        <f t="shared" si="33"/>
        <v>9.8119218120657197E-5</v>
      </c>
      <c r="W79" s="1"/>
      <c r="X79" s="1">
        <f t="shared" si="34"/>
        <v>-180</v>
      </c>
      <c r="Y79" s="1"/>
      <c r="Z79" s="5">
        <f t="shared" si="35"/>
        <v>-1</v>
      </c>
    </row>
    <row r="80" spans="1:26" s="24" customFormat="1" hidden="1" outlineLevel="2" x14ac:dyDescent="0.25">
      <c r="A80" s="26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28"/>
        <v>0</v>
      </c>
      <c r="G80" s="2"/>
      <c r="H80" s="7">
        <v>20</v>
      </c>
      <c r="I80" s="2"/>
      <c r="J80" s="6">
        <f t="shared" si="29"/>
        <v>1.9441636208103274E-4</v>
      </c>
      <c r="K80" s="2"/>
      <c r="L80" s="7">
        <f t="shared" si="30"/>
        <v>-20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180</v>
      </c>
      <c r="U80" s="2"/>
      <c r="V80" s="6">
        <f t="shared" si="33"/>
        <v>9.8119218120657197E-5</v>
      </c>
      <c r="W80" s="2"/>
      <c r="X80" s="7">
        <f t="shared" si="34"/>
        <v>-180</v>
      </c>
      <c r="Y80" s="2"/>
      <c r="Z80" s="6">
        <f t="shared" si="35"/>
        <v>-1</v>
      </c>
    </row>
    <row r="81" spans="1:26" s="25" customFormat="1" outlineLevel="1" collapsed="1" x14ac:dyDescent="0.25">
      <c r="A81" s="27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SUM(OSRRefD22_6x_0)</f>
        <v>531.96</v>
      </c>
      <c r="E81" s="1"/>
      <c r="F81" s="5">
        <f t="shared" si="28"/>
        <v>1.2397536098070581E-3</v>
      </c>
      <c r="G81" s="1"/>
      <c r="H81" s="1">
        <f>SUM(OSRRefH22_6x_0)</f>
        <v>15</v>
      </c>
      <c r="I81" s="1"/>
      <c r="J81" s="5">
        <f t="shared" si="29"/>
        <v>1.4581227156077457E-4</v>
      </c>
      <c r="K81" s="1"/>
      <c r="L81" s="1">
        <f t="shared" si="30"/>
        <v>516.96</v>
      </c>
      <c r="M81" s="1"/>
      <c r="N81" s="5">
        <f t="shared" si="31"/>
        <v>34.464000000000006</v>
      </c>
      <c r="O81" s="13"/>
      <c r="P81" s="1">
        <f>SUM(OSRRefP22_6x_0)</f>
        <v>1614.29</v>
      </c>
      <c r="Q81" s="1"/>
      <c r="R81" s="5">
        <f t="shared" si="32"/>
        <v>7.9932897741318899E-4</v>
      </c>
      <c r="S81" s="1"/>
      <c r="T81" s="1">
        <f>SUM(OSRRefT22_6x_0)</f>
        <v>135</v>
      </c>
      <c r="U81" s="1"/>
      <c r="V81" s="5">
        <f t="shared" si="33"/>
        <v>7.3589413590492898E-5</v>
      </c>
      <c r="W81" s="1"/>
      <c r="X81" s="1">
        <f t="shared" si="34"/>
        <v>1479.29</v>
      </c>
      <c r="Y81" s="1"/>
      <c r="Z81" s="5">
        <f t="shared" si="35"/>
        <v>10.957703703703704</v>
      </c>
    </row>
    <row r="82" spans="1:26" s="24" customFormat="1" hidden="1" outlineLevel="2" x14ac:dyDescent="0.25">
      <c r="A82" s="26"/>
      <c r="B82" s="11" t="str">
        <f>CONCATENATE("          ", "6305", " - ", "FREIGHT OUT")</f>
        <v xml:space="preserve">          6305 - FREIGHT OUT</v>
      </c>
      <c r="C82" s="11"/>
      <c r="D82" s="7">
        <v>531.96</v>
      </c>
      <c r="E82" s="2"/>
      <c r="F82" s="6">
        <f t="shared" si="28"/>
        <v>1.2397536098070581E-3</v>
      </c>
      <c r="G82" s="2"/>
      <c r="H82" s="7">
        <v>15</v>
      </c>
      <c r="I82" s="2"/>
      <c r="J82" s="6">
        <f t="shared" si="29"/>
        <v>1.4581227156077457E-4</v>
      </c>
      <c r="K82" s="2"/>
      <c r="L82" s="7">
        <f t="shared" si="30"/>
        <v>516.96</v>
      </c>
      <c r="M82" s="2"/>
      <c r="N82" s="6">
        <f t="shared" si="31"/>
        <v>34.464000000000006</v>
      </c>
      <c r="O82" s="11"/>
      <c r="P82" s="7">
        <v>1601.69</v>
      </c>
      <c r="Q82" s="2"/>
      <c r="R82" s="6">
        <f t="shared" si="32"/>
        <v>7.930899837284073E-4</v>
      </c>
      <c r="S82" s="2"/>
      <c r="T82" s="7">
        <v>135</v>
      </c>
      <c r="U82" s="2"/>
      <c r="V82" s="6">
        <f t="shared" si="33"/>
        <v>7.3589413590492898E-5</v>
      </c>
      <c r="W82" s="2"/>
      <c r="X82" s="7">
        <f t="shared" si="34"/>
        <v>1466.69</v>
      </c>
      <c r="Y82" s="2"/>
      <c r="Z82" s="6">
        <f t="shared" si="35"/>
        <v>10.86437037037037</v>
      </c>
    </row>
    <row r="83" spans="1:26" s="24" customFormat="1" hidden="1" outlineLevel="2" x14ac:dyDescent="0.25">
      <c r="A83" s="26"/>
      <c r="B83" s="11" t="str">
        <f>CONCATENATE("          ", "6307", " - ", "POSTAGE")</f>
        <v xml:space="preserve">          6307 - POSTAGE</v>
      </c>
      <c r="C83" s="11"/>
      <c r="D83" s="7"/>
      <c r="E83" s="2"/>
      <c r="F83" s="6">
        <f t="shared" si="28"/>
        <v>0</v>
      </c>
      <c r="G83" s="2"/>
      <c r="H83" s="7"/>
      <c r="I83" s="2"/>
      <c r="J83" s="6">
        <f t="shared" si="29"/>
        <v>0</v>
      </c>
      <c r="K83" s="2"/>
      <c r="L83" s="7">
        <f t="shared" si="30"/>
        <v>0</v>
      </c>
      <c r="M83" s="2"/>
      <c r="N83" s="6">
        <f t="shared" si="31"/>
        <v>0</v>
      </c>
      <c r="O83" s="11"/>
      <c r="P83" s="7">
        <v>12.6</v>
      </c>
      <c r="Q83" s="2"/>
      <c r="R83" s="6">
        <f t="shared" si="32"/>
        <v>6.2389936847816567E-6</v>
      </c>
      <c r="S83" s="2"/>
      <c r="T83" s="7"/>
      <c r="U83" s="2"/>
      <c r="V83" s="6">
        <f t="shared" si="33"/>
        <v>0</v>
      </c>
      <c r="W83" s="2"/>
      <c r="X83" s="7">
        <f t="shared" si="34"/>
        <v>12.6</v>
      </c>
      <c r="Y83" s="2"/>
      <c r="Z83" s="6">
        <f t="shared" si="35"/>
        <v>0</v>
      </c>
    </row>
    <row r="84" spans="1:26" s="25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SUM(OSRRefD22_7x_0)</f>
        <v>0</v>
      </c>
      <c r="E84" s="1"/>
      <c r="F84" s="5">
        <f t="shared" ref="F84:F90" si="36">IF(D$12=0,0,D84/D$12)</f>
        <v>0</v>
      </c>
      <c r="G84" s="1"/>
      <c r="H84" s="1">
        <f>SUM(OSRRefH22_7x_0)</f>
        <v>30</v>
      </c>
      <c r="I84" s="1"/>
      <c r="J84" s="5">
        <f t="shared" ref="J84:J90" si="37">IF(H$12=0,0,H84/H$12)</f>
        <v>2.9162454312154913E-4</v>
      </c>
      <c r="K84" s="1"/>
      <c r="L84" s="1">
        <f t="shared" ref="L84:L90" si="38">+D84-H84</f>
        <v>-30</v>
      </c>
      <c r="M84" s="1"/>
      <c r="N84" s="5">
        <f t="shared" ref="N84:N90" si="39">IF(H84=0,0,L84/H84)</f>
        <v>-1</v>
      </c>
      <c r="O84" s="13"/>
      <c r="P84" s="1">
        <f>SUM(OSRRefP22_7x_0)</f>
        <v>-30.15</v>
      </c>
      <c r="Q84" s="1"/>
      <c r="R84" s="5">
        <f t="shared" ref="R84:R90" si="40">IF(P$12=0,0,P84/P$12)</f>
        <v>-1.4929020602870393E-5</v>
      </c>
      <c r="S84" s="1"/>
      <c r="T84" s="1">
        <f>SUM(OSRRefT22_7x_0)</f>
        <v>270</v>
      </c>
      <c r="U84" s="1"/>
      <c r="V84" s="5">
        <f t="shared" ref="V84:V90" si="41">IF(T$12=0,0,T84/T$12)</f>
        <v>1.471788271809858E-4</v>
      </c>
      <c r="W84" s="1"/>
      <c r="X84" s="1">
        <f t="shared" ref="X84:X90" si="42">+P84-T84</f>
        <v>-300.14999999999998</v>
      </c>
      <c r="Y84" s="1"/>
      <c r="Z84" s="5">
        <f t="shared" ref="Z84:Z90" si="43">IF(T84=0,0,X84/T84)</f>
        <v>-1.1116666666666666</v>
      </c>
    </row>
    <row r="85" spans="1:26" s="24" customFormat="1" hidden="1" outlineLevel="2" x14ac:dyDescent="0.25">
      <c r="A85" s="26"/>
      <c r="B85" s="11" t="str">
        <f>CONCATENATE("          ", "6279", " - ", "GENERAL EXPENSE")</f>
        <v xml:space="preserve">          6279 - GENERAL EXPENSE</v>
      </c>
      <c r="C85" s="11"/>
      <c r="D85" s="7"/>
      <c r="E85" s="2"/>
      <c r="F85" s="6">
        <f t="shared" si="36"/>
        <v>0</v>
      </c>
      <c r="G85" s="2"/>
      <c r="H85" s="7">
        <v>30</v>
      </c>
      <c r="I85" s="2"/>
      <c r="J85" s="6">
        <f t="shared" si="37"/>
        <v>2.9162454312154913E-4</v>
      </c>
      <c r="K85" s="2"/>
      <c r="L85" s="7">
        <f t="shared" si="38"/>
        <v>-30</v>
      </c>
      <c r="M85" s="2"/>
      <c r="N85" s="6">
        <f t="shared" si="39"/>
        <v>-1</v>
      </c>
      <c r="O85" s="11"/>
      <c r="P85" s="7">
        <v>-30.15</v>
      </c>
      <c r="Q85" s="2"/>
      <c r="R85" s="6">
        <f t="shared" si="40"/>
        <v>-1.4929020602870393E-5</v>
      </c>
      <c r="S85" s="2"/>
      <c r="T85" s="7">
        <v>270</v>
      </c>
      <c r="U85" s="2"/>
      <c r="V85" s="6">
        <f t="shared" si="41"/>
        <v>1.471788271809858E-4</v>
      </c>
      <c r="W85" s="2"/>
      <c r="X85" s="7">
        <f t="shared" si="42"/>
        <v>-300.14999999999998</v>
      </c>
      <c r="Y85" s="2"/>
      <c r="Z85" s="6">
        <f t="shared" si="43"/>
        <v>-1.1116666666666666</v>
      </c>
    </row>
    <row r="86" spans="1:26" s="25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SUM(OSRRefD22_8x_0)</f>
        <v>1250</v>
      </c>
      <c r="E86" s="1"/>
      <c r="F86" s="5">
        <f t="shared" si="36"/>
        <v>2.9131739458959742E-3</v>
      </c>
      <c r="G86" s="1"/>
      <c r="H86" s="1">
        <f>SUM(OSRRefH22_8x_0)</f>
        <v>1250</v>
      </c>
      <c r="I86" s="1"/>
      <c r="J86" s="5">
        <f t="shared" si="37"/>
        <v>1.2151022630064547E-2</v>
      </c>
      <c r="K86" s="1"/>
      <c r="L86" s="1">
        <f t="shared" si="38"/>
        <v>0</v>
      </c>
      <c r="M86" s="1"/>
      <c r="N86" s="5">
        <f t="shared" si="39"/>
        <v>0</v>
      </c>
      <c r="O86" s="13"/>
      <c r="P86" s="1">
        <f>SUM(OSRRefP22_8x_0)</f>
        <v>11250</v>
      </c>
      <c r="Q86" s="1"/>
      <c r="R86" s="5">
        <f t="shared" si="40"/>
        <v>5.5705300756979078E-3</v>
      </c>
      <c r="S86" s="1"/>
      <c r="T86" s="1">
        <f>SUM(OSRRefT22_8x_0)</f>
        <v>11250</v>
      </c>
      <c r="U86" s="1"/>
      <c r="V86" s="5">
        <f t="shared" si="41"/>
        <v>6.132451132541075E-3</v>
      </c>
      <c r="W86" s="1"/>
      <c r="X86" s="1">
        <f t="shared" si="42"/>
        <v>0</v>
      </c>
      <c r="Y86" s="1"/>
      <c r="Z86" s="5">
        <f t="shared" si="43"/>
        <v>0</v>
      </c>
    </row>
    <row r="87" spans="1:26" s="24" customFormat="1" hidden="1" outlineLevel="2" x14ac:dyDescent="0.25">
      <c r="A87" s="26"/>
      <c r="B87" s="11" t="str">
        <f>CONCATENATE("          ", "6408", " - ", "INVENTORY ADJUSTMENT")</f>
        <v xml:space="preserve">          6408 - INVENTORY ADJUSTMENT</v>
      </c>
      <c r="C87" s="11"/>
      <c r="D87" s="7">
        <v>1250</v>
      </c>
      <c r="E87" s="2"/>
      <c r="F87" s="6">
        <f t="shared" si="36"/>
        <v>2.9131739458959742E-3</v>
      </c>
      <c r="G87" s="2"/>
      <c r="H87" s="7">
        <v>1250</v>
      </c>
      <c r="I87" s="2"/>
      <c r="J87" s="6">
        <f t="shared" si="37"/>
        <v>1.2151022630064547E-2</v>
      </c>
      <c r="K87" s="2"/>
      <c r="L87" s="7">
        <f t="shared" si="38"/>
        <v>0</v>
      </c>
      <c r="M87" s="2"/>
      <c r="N87" s="6">
        <f t="shared" si="39"/>
        <v>0</v>
      </c>
      <c r="O87" s="11"/>
      <c r="P87" s="7">
        <v>11250</v>
      </c>
      <c r="Q87" s="2"/>
      <c r="R87" s="6">
        <f t="shared" si="40"/>
        <v>5.5705300756979078E-3</v>
      </c>
      <c r="S87" s="2"/>
      <c r="T87" s="7">
        <v>11250</v>
      </c>
      <c r="U87" s="2"/>
      <c r="V87" s="6">
        <f t="shared" si="41"/>
        <v>6.132451132541075E-3</v>
      </c>
      <c r="W87" s="2"/>
      <c r="X87" s="7">
        <f t="shared" si="42"/>
        <v>0</v>
      </c>
      <c r="Y87" s="2"/>
      <c r="Z87" s="6">
        <f t="shared" si="43"/>
        <v>0</v>
      </c>
    </row>
    <row r="88" spans="1:26" s="25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SUM(OSRRefD22_9x_0)</f>
        <v>1550</v>
      </c>
      <c r="E88" s="1"/>
      <c r="F88" s="5">
        <f t="shared" si="36"/>
        <v>3.612335692911008E-3</v>
      </c>
      <c r="G88" s="1"/>
      <c r="H88" s="1">
        <f>SUM(OSRRefH22_9x_0)</f>
        <v>20</v>
      </c>
      <c r="I88" s="1"/>
      <c r="J88" s="5">
        <f t="shared" si="37"/>
        <v>1.9441636208103274E-4</v>
      </c>
      <c r="K88" s="1"/>
      <c r="L88" s="1">
        <f t="shared" si="38"/>
        <v>1530</v>
      </c>
      <c r="M88" s="1"/>
      <c r="N88" s="5">
        <f t="shared" si="39"/>
        <v>76.5</v>
      </c>
      <c r="O88" s="13"/>
      <c r="P88" s="1">
        <f>SUM(OSRRefP22_9x_0)</f>
        <v>1550</v>
      </c>
      <c r="Q88" s="1"/>
      <c r="R88" s="5">
        <f t="shared" si="40"/>
        <v>7.6749525487393401E-4</v>
      </c>
      <c r="S88" s="1"/>
      <c r="T88" s="1">
        <f>SUM(OSRRefT22_9x_0)</f>
        <v>185</v>
      </c>
      <c r="U88" s="1"/>
      <c r="V88" s="5">
        <f t="shared" si="41"/>
        <v>1.0084475195734212E-4</v>
      </c>
      <c r="W88" s="1"/>
      <c r="X88" s="1">
        <f t="shared" si="42"/>
        <v>1365</v>
      </c>
      <c r="Y88" s="1"/>
      <c r="Z88" s="5">
        <f t="shared" si="43"/>
        <v>7.3783783783783781</v>
      </c>
    </row>
    <row r="89" spans="1:26" s="24" customFormat="1" hidden="1" outlineLevel="2" x14ac:dyDescent="0.25">
      <c r="A89" s="26"/>
      <c r="B89" s="11" t="str">
        <f>CONCATENATE("          ", "6371", " - ", "COMPUTER SOFTWARE MAINTENANCE")</f>
        <v xml:space="preserve">          6371 - COMPUTER SOFTWARE MAINTENANCE</v>
      </c>
      <c r="C89" s="11"/>
      <c r="D89" s="7">
        <v>1550</v>
      </c>
      <c r="E89" s="2"/>
      <c r="F89" s="6">
        <f t="shared" si="36"/>
        <v>3.612335692911008E-3</v>
      </c>
      <c r="G89" s="2"/>
      <c r="H89" s="7"/>
      <c r="I89" s="2"/>
      <c r="J89" s="6">
        <f t="shared" si="37"/>
        <v>0</v>
      </c>
      <c r="K89" s="2"/>
      <c r="L89" s="7">
        <f t="shared" si="38"/>
        <v>1550</v>
      </c>
      <c r="M89" s="2"/>
      <c r="N89" s="6">
        <f t="shared" si="39"/>
        <v>0</v>
      </c>
      <c r="O89" s="11"/>
      <c r="P89" s="7">
        <v>1550</v>
      </c>
      <c r="Q89" s="2"/>
      <c r="R89" s="6">
        <f t="shared" si="40"/>
        <v>7.6749525487393401E-4</v>
      </c>
      <c r="S89" s="2"/>
      <c r="T89" s="7"/>
      <c r="U89" s="2"/>
      <c r="V89" s="6">
        <f t="shared" si="41"/>
        <v>0</v>
      </c>
      <c r="W89" s="2"/>
      <c r="X89" s="7">
        <f t="shared" si="42"/>
        <v>1550</v>
      </c>
      <c r="Y89" s="2"/>
      <c r="Z89" s="6">
        <f t="shared" si="43"/>
        <v>0</v>
      </c>
    </row>
    <row r="90" spans="1:26" s="24" customFormat="1" hidden="1" outlineLevel="2" x14ac:dyDescent="0.25">
      <c r="A90" s="26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36"/>
        <v>0</v>
      </c>
      <c r="G90" s="2"/>
      <c r="H90" s="7">
        <v>20</v>
      </c>
      <c r="I90" s="2"/>
      <c r="J90" s="6">
        <f t="shared" si="37"/>
        <v>1.9441636208103274E-4</v>
      </c>
      <c r="K90" s="2"/>
      <c r="L90" s="7">
        <f t="shared" si="38"/>
        <v>-20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185</v>
      </c>
      <c r="U90" s="2"/>
      <c r="V90" s="6">
        <f t="shared" si="41"/>
        <v>1.0084475195734212E-4</v>
      </c>
      <c r="W90" s="2"/>
      <c r="X90" s="7">
        <f t="shared" si="42"/>
        <v>-185</v>
      </c>
      <c r="Y90" s="2"/>
      <c r="Z90" s="6">
        <f t="shared" si="43"/>
        <v>-1</v>
      </c>
    </row>
    <row r="91" spans="1:26" s="25" customFormat="1" outlineLevel="1" collapsed="1" x14ac:dyDescent="0.25">
      <c r="A91" s="27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SUM(OSRRefD22_10x_0)</f>
        <v>1733.49</v>
      </c>
      <c r="E91" s="1"/>
      <c r="F91" s="5">
        <f t="shared" ref="F91:F95" si="44">IF(D$12=0,0,D91/D$12)</f>
        <v>4.03996632277697E-3</v>
      </c>
      <c r="G91" s="1"/>
      <c r="H91" s="1">
        <f>SUM(OSRRefH22_10x_0)</f>
        <v>310</v>
      </c>
      <c r="I91" s="1"/>
      <c r="J91" s="5">
        <f t="shared" ref="J91:J95" si="45">IF(H$12=0,0,H91/H$12)</f>
        <v>3.0134536122560073E-3</v>
      </c>
      <c r="K91" s="1"/>
      <c r="L91" s="1">
        <f t="shared" ref="L91:L95" si="46">+D91-H91</f>
        <v>1423.49</v>
      </c>
      <c r="M91" s="1"/>
      <c r="N91" s="5">
        <f t="shared" ref="N91:N95" si="47">IF(H91=0,0,L91/H91)</f>
        <v>4.591903225806452</v>
      </c>
      <c r="O91" s="13"/>
      <c r="P91" s="1">
        <f>SUM(OSRRefP22_10x_0)</f>
        <v>3812.09</v>
      </c>
      <c r="Q91" s="1"/>
      <c r="R91" s="5">
        <f t="shared" ref="R91:R95" si="48">IF(P$12=0,0,P91/P$12)</f>
        <v>1.8875877330015323E-3</v>
      </c>
      <c r="S91" s="1"/>
      <c r="T91" s="1">
        <f>SUM(OSRRefT22_10x_0)</f>
        <v>2790</v>
      </c>
      <c r="U91" s="1"/>
      <c r="V91" s="5">
        <f t="shared" ref="V91:V95" si="49">IF(T$12=0,0,T91/T$12)</f>
        <v>1.5208478808701866E-3</v>
      </c>
      <c r="W91" s="1"/>
      <c r="X91" s="1">
        <f t="shared" ref="X91:X95" si="50">+P91-T91</f>
        <v>1022.0900000000001</v>
      </c>
      <c r="Y91" s="1"/>
      <c r="Z91" s="5">
        <f t="shared" ref="Z91:Z95" si="51">IF(T91=0,0,X91/T91)</f>
        <v>0.36634050179211475</v>
      </c>
    </row>
    <row r="92" spans="1:26" s="24" customFormat="1" hidden="1" outlineLevel="2" x14ac:dyDescent="0.25">
      <c r="A92" s="26"/>
      <c r="B92" s="11" t="str">
        <f>CONCATENATE("          ", "6234", " - ", "EXPENDABLE SUPPLIES &amp; EQUIPMEN")</f>
        <v xml:space="preserve">          6234 - EXPENDABLE SUPPLIES &amp; EQUIPMEN</v>
      </c>
      <c r="C92" s="11"/>
      <c r="D92" s="7">
        <v>1733.49</v>
      </c>
      <c r="E92" s="2"/>
      <c r="F92" s="6">
        <f t="shared" si="44"/>
        <v>4.03996632277697E-3</v>
      </c>
      <c r="G92" s="2"/>
      <c r="H92" s="7"/>
      <c r="I92" s="2"/>
      <c r="J92" s="6">
        <f t="shared" si="45"/>
        <v>0</v>
      </c>
      <c r="K92" s="2"/>
      <c r="L92" s="7">
        <f t="shared" si="46"/>
        <v>1733.49</v>
      </c>
      <c r="M92" s="2"/>
      <c r="N92" s="6">
        <f t="shared" si="47"/>
        <v>0</v>
      </c>
      <c r="O92" s="11"/>
      <c r="P92" s="7">
        <v>1733.49</v>
      </c>
      <c r="Q92" s="2"/>
      <c r="R92" s="6">
        <f t="shared" si="48"/>
        <v>8.5835183830413925E-4</v>
      </c>
      <c r="S92" s="2"/>
      <c r="T92" s="7"/>
      <c r="U92" s="2"/>
      <c r="V92" s="6">
        <f t="shared" si="49"/>
        <v>0</v>
      </c>
      <c r="W92" s="2"/>
      <c r="X92" s="7">
        <f t="shared" si="50"/>
        <v>1733.49</v>
      </c>
      <c r="Y92" s="2"/>
      <c r="Z92" s="6">
        <f t="shared" si="51"/>
        <v>0</v>
      </c>
    </row>
    <row r="93" spans="1:26" s="24" customFormat="1" hidden="1" outlineLevel="2" x14ac:dyDescent="0.25">
      <c r="A93" s="26"/>
      <c r="B93" s="11" t="str">
        <f>CONCATENATE("          ", "6235", " - ", "COVID-19 EXPENSES")</f>
        <v xml:space="preserve">          6235 - COVID-19 EXPENSES</v>
      </c>
      <c r="C93" s="11"/>
      <c r="D93" s="7"/>
      <c r="E93" s="2"/>
      <c r="F93" s="6">
        <f t="shared" si="44"/>
        <v>0</v>
      </c>
      <c r="G93" s="2"/>
      <c r="H93" s="7"/>
      <c r="I93" s="2"/>
      <c r="J93" s="6">
        <f t="shared" si="45"/>
        <v>0</v>
      </c>
      <c r="K93" s="2"/>
      <c r="L93" s="7">
        <f t="shared" si="46"/>
        <v>0</v>
      </c>
      <c r="M93" s="2"/>
      <c r="N93" s="6">
        <f t="shared" si="47"/>
        <v>0</v>
      </c>
      <c r="O93" s="11"/>
      <c r="P93" s="7">
        <v>668.12</v>
      </c>
      <c r="Q93" s="2"/>
      <c r="R93" s="6">
        <f t="shared" si="48"/>
        <v>3.3082511592669211E-4</v>
      </c>
      <c r="S93" s="2"/>
      <c r="T93" s="7"/>
      <c r="U93" s="2"/>
      <c r="V93" s="6">
        <f t="shared" si="49"/>
        <v>0</v>
      </c>
      <c r="W93" s="2"/>
      <c r="X93" s="7">
        <f t="shared" si="50"/>
        <v>668.12</v>
      </c>
      <c r="Y93" s="2"/>
      <c r="Z93" s="6">
        <f t="shared" si="51"/>
        <v>0</v>
      </c>
    </row>
    <row r="94" spans="1:26" s="24" customFormat="1" hidden="1" outlineLevel="2" x14ac:dyDescent="0.25">
      <c r="A94" s="26"/>
      <c r="B94" s="11" t="str">
        <f>CONCATENATE("          ", "6241", " - ", "OFFICE EXPENSE")</f>
        <v xml:space="preserve">          6241 - OFFICE EXPENSE</v>
      </c>
      <c r="C94" s="11"/>
      <c r="D94" s="7"/>
      <c r="E94" s="2"/>
      <c r="F94" s="6">
        <f t="shared" si="44"/>
        <v>0</v>
      </c>
      <c r="G94" s="2"/>
      <c r="H94" s="7">
        <v>110</v>
      </c>
      <c r="I94" s="2"/>
      <c r="J94" s="6">
        <f t="shared" si="45"/>
        <v>1.0692899914456801E-3</v>
      </c>
      <c r="K94" s="2"/>
      <c r="L94" s="7">
        <f t="shared" si="46"/>
        <v>-110</v>
      </c>
      <c r="M94" s="2"/>
      <c r="N94" s="6">
        <f t="shared" si="47"/>
        <v>-1</v>
      </c>
      <c r="O94" s="11"/>
      <c r="P94" s="7">
        <v>1410.48</v>
      </c>
      <c r="Q94" s="2"/>
      <c r="R94" s="6">
        <f t="shared" si="48"/>
        <v>6.9841077877070092E-4</v>
      </c>
      <c r="S94" s="2"/>
      <c r="T94" s="7">
        <v>990</v>
      </c>
      <c r="U94" s="2"/>
      <c r="V94" s="6">
        <f t="shared" si="49"/>
        <v>5.3965569966361458E-4</v>
      </c>
      <c r="W94" s="2"/>
      <c r="X94" s="7">
        <f t="shared" si="50"/>
        <v>420.48</v>
      </c>
      <c r="Y94" s="2"/>
      <c r="Z94" s="6">
        <f t="shared" si="51"/>
        <v>0.42472727272727273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44"/>
        <v>0</v>
      </c>
      <c r="G95" s="2"/>
      <c r="H95" s="7">
        <v>200</v>
      </c>
      <c r="I95" s="2"/>
      <c r="J95" s="6">
        <f t="shared" si="45"/>
        <v>1.9441636208103275E-3</v>
      </c>
      <c r="K95" s="2"/>
      <c r="L95" s="7">
        <f t="shared" si="46"/>
        <v>-200</v>
      </c>
      <c r="M95" s="2"/>
      <c r="N95" s="6">
        <f t="shared" si="47"/>
        <v>-1</v>
      </c>
      <c r="O95" s="11"/>
      <c r="P95" s="7"/>
      <c r="Q95" s="2"/>
      <c r="R95" s="6">
        <f t="shared" si="48"/>
        <v>0</v>
      </c>
      <c r="S95" s="2"/>
      <c r="T95" s="7">
        <v>1800</v>
      </c>
      <c r="U95" s="2"/>
      <c r="V95" s="6">
        <f t="shared" si="49"/>
        <v>9.8119218120657197E-4</v>
      </c>
      <c r="W95" s="2"/>
      <c r="X95" s="7">
        <f t="shared" si="50"/>
        <v>-1800</v>
      </c>
      <c r="Y95" s="2"/>
      <c r="Z95" s="6">
        <f t="shared" si="51"/>
        <v>-1</v>
      </c>
    </row>
    <row r="96" spans="1:26" s="25" customFormat="1" outlineLevel="1" collapsed="1" x14ac:dyDescent="0.25">
      <c r="A96" s="27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SUM(OSRRefD22_11x_0)</f>
        <v>274.85000000000002</v>
      </c>
      <c r="E96" s="1"/>
      <c r="F96" s="5">
        <f t="shared" ref="F96:F99" si="52">IF(D$12=0,0,D96/D$12)</f>
        <v>6.405486872236068E-4</v>
      </c>
      <c r="G96" s="1"/>
      <c r="H96" s="1">
        <f>SUM(OSRRefH22_11x_0)</f>
        <v>250</v>
      </c>
      <c r="I96" s="1"/>
      <c r="J96" s="5">
        <f t="shared" ref="J96:J99" si="53">IF(H$12=0,0,H96/H$12)</f>
        <v>2.4302045260129091E-3</v>
      </c>
      <c r="K96" s="1"/>
      <c r="L96" s="1">
        <f t="shared" ref="L96:L99" si="54">+D96-H96</f>
        <v>24.850000000000023</v>
      </c>
      <c r="M96" s="1"/>
      <c r="N96" s="5">
        <f t="shared" ref="N96:N99" si="55">IF(H96=0,0,L96/H96)</f>
        <v>9.9400000000000086E-2</v>
      </c>
      <c r="O96" s="13"/>
      <c r="P96" s="1">
        <f>SUM(OSRRefP22_11x_0)</f>
        <v>2606.25</v>
      </c>
      <c r="Q96" s="1"/>
      <c r="R96" s="5">
        <f t="shared" ref="R96:R99" si="56">IF(P$12=0,0,P96/P$12)</f>
        <v>1.2905061342033486E-3</v>
      </c>
      <c r="S96" s="1"/>
      <c r="T96" s="1">
        <f>SUM(OSRRefT22_11x_0)</f>
        <v>2260</v>
      </c>
      <c r="U96" s="1"/>
      <c r="V96" s="5">
        <f t="shared" ref="V96:V99" si="57">IF(T$12=0,0,T96/T$12)</f>
        <v>1.231941294181585E-3</v>
      </c>
      <c r="W96" s="1"/>
      <c r="X96" s="1">
        <f t="shared" ref="X96:X99" si="58">+P96-T96</f>
        <v>346.25</v>
      </c>
      <c r="Y96" s="1"/>
      <c r="Z96" s="5">
        <f t="shared" ref="Z96:Z99" si="59">IF(T96=0,0,X96/T96)</f>
        <v>0.15320796460176991</v>
      </c>
    </row>
    <row r="97" spans="1:26" s="24" customFormat="1" hidden="1" outlineLevel="2" x14ac:dyDescent="0.25">
      <c r="A97" s="26"/>
      <c r="B97" s="11" t="str">
        <f>CONCATENATE("          ", "6309", " - ", "TELEPHONE")</f>
        <v xml:space="preserve">          6309 - TELEPHONE</v>
      </c>
      <c r="C97" s="11"/>
      <c r="D97" s="7">
        <v>274.85000000000002</v>
      </c>
      <c r="E97" s="2"/>
      <c r="F97" s="6">
        <f t="shared" si="52"/>
        <v>6.405486872236068E-4</v>
      </c>
      <c r="G97" s="2"/>
      <c r="H97" s="7">
        <v>250</v>
      </c>
      <c r="I97" s="2"/>
      <c r="J97" s="6">
        <f t="shared" si="53"/>
        <v>2.4302045260129091E-3</v>
      </c>
      <c r="K97" s="2"/>
      <c r="L97" s="7">
        <f t="shared" si="54"/>
        <v>24.850000000000023</v>
      </c>
      <c r="M97" s="2"/>
      <c r="N97" s="6">
        <f t="shared" si="55"/>
        <v>9.9400000000000086E-2</v>
      </c>
      <c r="O97" s="11"/>
      <c r="P97" s="7">
        <v>2606.25</v>
      </c>
      <c r="Q97" s="2"/>
      <c r="R97" s="6">
        <f t="shared" si="56"/>
        <v>1.2905061342033486E-3</v>
      </c>
      <c r="S97" s="2"/>
      <c r="T97" s="7">
        <v>2260</v>
      </c>
      <c r="U97" s="2"/>
      <c r="V97" s="6">
        <f t="shared" si="57"/>
        <v>1.231941294181585E-3</v>
      </c>
      <c r="W97" s="2"/>
      <c r="X97" s="7">
        <f t="shared" si="58"/>
        <v>346.25</v>
      </c>
      <c r="Y97" s="2"/>
      <c r="Z97" s="6">
        <f t="shared" si="59"/>
        <v>0.15320796460176991</v>
      </c>
    </row>
    <row r="98" spans="1:26" s="25" customFormat="1" outlineLevel="1" collapsed="1" x14ac:dyDescent="0.25">
      <c r="A98" s="27"/>
      <c r="B98" s="13" t="str">
        <f>CONCATENATE("     ","Training                                          ")</f>
        <v xml:space="preserve">     Training                                          </v>
      </c>
      <c r="C98" s="13"/>
      <c r="D98" s="1">
        <f>SUM(OSRRefD22_12x_0)</f>
        <v>0</v>
      </c>
      <c r="E98" s="1"/>
      <c r="F98" s="5">
        <f t="shared" si="52"/>
        <v>0</v>
      </c>
      <c r="G98" s="1"/>
      <c r="H98" s="1">
        <f>SUM(OSRRefH22_12x_0)</f>
        <v>0</v>
      </c>
      <c r="I98" s="1"/>
      <c r="J98" s="5">
        <f t="shared" si="53"/>
        <v>0</v>
      </c>
      <c r="K98" s="1"/>
      <c r="L98" s="1">
        <f t="shared" si="54"/>
        <v>0</v>
      </c>
      <c r="M98" s="1"/>
      <c r="N98" s="5">
        <f t="shared" si="55"/>
        <v>0</v>
      </c>
      <c r="O98" s="13"/>
      <c r="P98" s="1">
        <f>SUM(OSRRefP22_12x_0)</f>
        <v>100</v>
      </c>
      <c r="Q98" s="1"/>
      <c r="R98" s="5">
        <f t="shared" si="56"/>
        <v>4.9515822895092517E-5</v>
      </c>
      <c r="S98" s="1"/>
      <c r="T98" s="1">
        <f>SUM(OSRRefT22_12x_0)</f>
        <v>2500</v>
      </c>
      <c r="U98" s="1"/>
      <c r="V98" s="5">
        <f t="shared" si="57"/>
        <v>1.3627669183424612E-3</v>
      </c>
      <c r="W98" s="1"/>
      <c r="X98" s="1">
        <f t="shared" si="58"/>
        <v>-2400</v>
      </c>
      <c r="Y98" s="1"/>
      <c r="Z98" s="5">
        <f t="shared" si="59"/>
        <v>-0.96</v>
      </c>
    </row>
    <row r="99" spans="1:26" s="24" customFormat="1" hidden="1" outlineLevel="2" x14ac:dyDescent="0.25">
      <c r="A99" s="26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52"/>
        <v>0</v>
      </c>
      <c r="G99" s="2"/>
      <c r="H99" s="7"/>
      <c r="I99" s="2"/>
      <c r="J99" s="6">
        <f t="shared" si="53"/>
        <v>0</v>
      </c>
      <c r="K99" s="2"/>
      <c r="L99" s="7">
        <f t="shared" si="54"/>
        <v>0</v>
      </c>
      <c r="M99" s="2"/>
      <c r="N99" s="6">
        <f t="shared" si="55"/>
        <v>0</v>
      </c>
      <c r="O99" s="11"/>
      <c r="P99" s="7">
        <v>100</v>
      </c>
      <c r="Q99" s="2"/>
      <c r="R99" s="6">
        <f t="shared" si="56"/>
        <v>4.9515822895092517E-5</v>
      </c>
      <c r="S99" s="2"/>
      <c r="T99" s="7">
        <v>2500</v>
      </c>
      <c r="U99" s="2"/>
      <c r="V99" s="6">
        <f t="shared" si="57"/>
        <v>1.3627669183424612E-3</v>
      </c>
      <c r="W99" s="2"/>
      <c r="X99" s="7">
        <f t="shared" si="58"/>
        <v>-2400</v>
      </c>
      <c r="Y99" s="2"/>
      <c r="Z99" s="6">
        <f t="shared" si="59"/>
        <v>-0.96</v>
      </c>
    </row>
    <row r="100" spans="1:26" s="59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293</v>
      </c>
      <c r="C101" s="10"/>
      <c r="D101" s="4">
        <f>SUM(OSRRefD25x_0)</f>
        <v>25561.239999999998</v>
      </c>
      <c r="E101" s="4"/>
      <c r="F101" s="12">
        <f t="shared" ref="F101:F103" si="60">IF(D$12=0,0,D101/D$12)</f>
        <v>5.95714707142352E-2</v>
      </c>
      <c r="G101" s="4"/>
      <c r="H101" s="4">
        <f>SUM(OSRRefH25x_0)</f>
        <v>818</v>
      </c>
      <c r="I101" s="4"/>
      <c r="J101" s="12">
        <f t="shared" ref="J101:J103" si="61">IF(H$12=0,0,H101/H$12)</f>
        <v>7.9516292091142398E-3</v>
      </c>
      <c r="K101" s="4"/>
      <c r="L101" s="4">
        <f t="shared" ref="L101:L103" si="62">+D101-H101</f>
        <v>24743.239999999998</v>
      </c>
      <c r="M101" s="4"/>
      <c r="N101" s="12">
        <f t="shared" ref="N101:N103" si="63">IF(H101=0,0,L101/H101)</f>
        <v>30.248459657701709</v>
      </c>
      <c r="O101" s="10"/>
      <c r="P101" s="4">
        <f>SUM(OSRRefP25x_0)</f>
        <v>26839.88</v>
      </c>
      <c r="Q101" s="4"/>
      <c r="R101" s="12">
        <f t="shared" ref="R101:R103" si="64">IF(P$12=0,0,P101/P$12)</f>
        <v>1.3289987446055357E-2</v>
      </c>
      <c r="S101" s="4"/>
      <c r="T101" s="4">
        <f>SUM(OSRRefT25x_0)</f>
        <v>14590</v>
      </c>
      <c r="U101" s="4"/>
      <c r="V101" s="12">
        <f t="shared" ref="V101:V103" si="65">IF(T$12=0,0,T101/T$12)</f>
        <v>7.9531077354466038E-3</v>
      </c>
      <c r="W101" s="4"/>
      <c r="X101" s="4">
        <f t="shared" ref="X101:X103" si="66">+P101-T101</f>
        <v>12249.880000000001</v>
      </c>
      <c r="Y101" s="4"/>
      <c r="Z101" s="12">
        <f t="shared" ref="Z101:Z103" si="67">IF(T101=0,0,X101/T101)</f>
        <v>0.83960795065113103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--160.46</f>
        <v>160.46</v>
      </c>
      <c r="E102" s="2"/>
      <c r="F102" s="19">
        <f t="shared" si="60"/>
        <v>3.7395831308677442E-4</v>
      </c>
      <c r="G102" s="2"/>
      <c r="H102" s="2"/>
      <c r="I102" s="2"/>
      <c r="J102" s="19">
        <f t="shared" si="61"/>
        <v>0</v>
      </c>
      <c r="K102" s="2"/>
      <c r="L102" s="2">
        <f t="shared" si="62"/>
        <v>160.46</v>
      </c>
      <c r="M102" s="2"/>
      <c r="N102" s="19">
        <f t="shared" si="63"/>
        <v>0</v>
      </c>
      <c r="O102" s="11"/>
      <c r="P102" s="2">
        <f>--1614.97</f>
        <v>1614.97</v>
      </c>
      <c r="Q102" s="2"/>
      <c r="R102" s="19">
        <f t="shared" si="64"/>
        <v>7.9966568500887555E-4</v>
      </c>
      <c r="S102" s="2"/>
      <c r="T102" s="2"/>
      <c r="U102" s="2"/>
      <c r="V102" s="19">
        <f t="shared" si="65"/>
        <v>0</v>
      </c>
      <c r="W102" s="2"/>
      <c r="X102" s="2">
        <f t="shared" si="66"/>
        <v>1614.97</v>
      </c>
      <c r="Y102" s="2"/>
      <c r="Z102" s="19">
        <f t="shared" si="67"/>
        <v>0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--25400.78</f>
        <v>25400.78</v>
      </c>
      <c r="E103" s="2"/>
      <c r="F103" s="19">
        <f t="shared" si="60"/>
        <v>5.9197512401148428E-2</v>
      </c>
      <c r="G103" s="2"/>
      <c r="H103" s="2">
        <v>818</v>
      </c>
      <c r="I103" s="2"/>
      <c r="J103" s="19">
        <f t="shared" si="61"/>
        <v>7.9516292091142398E-3</v>
      </c>
      <c r="K103" s="2"/>
      <c r="L103" s="2">
        <f t="shared" si="62"/>
        <v>24582.78</v>
      </c>
      <c r="M103" s="2"/>
      <c r="N103" s="19">
        <f t="shared" si="63"/>
        <v>30.052298288508556</v>
      </c>
      <c r="O103" s="11"/>
      <c r="P103" s="2">
        <f>--25224.91</f>
        <v>25224.91</v>
      </c>
      <c r="Q103" s="2"/>
      <c r="R103" s="19">
        <f t="shared" si="64"/>
        <v>1.2490321761046481E-2</v>
      </c>
      <c r="S103" s="2"/>
      <c r="T103" s="2">
        <v>14590</v>
      </c>
      <c r="U103" s="2"/>
      <c r="V103" s="19">
        <f t="shared" si="65"/>
        <v>7.9531077354466038E-3</v>
      </c>
      <c r="W103" s="2"/>
      <c r="X103" s="2">
        <f t="shared" si="66"/>
        <v>10634.91</v>
      </c>
      <c r="Y103" s="2"/>
      <c r="Z103" s="19">
        <f t="shared" si="67"/>
        <v>0.72891775188485264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9" t="s">
        <v>277</v>
      </c>
      <c r="C105" s="29"/>
      <c r="D105" s="20">
        <f>+D48-D50+D101</f>
        <v>81669.87</v>
      </c>
      <c r="E105" s="14"/>
      <c r="F105" s="21">
        <f>IF(D$12=0,0,D105/D$12)</f>
        <v>0.19033482995896897</v>
      </c>
      <c r="G105" s="14"/>
      <c r="H105" s="20">
        <f>+H48-H50+H101</f>
        <v>5810.7621471538441</v>
      </c>
      <c r="I105" s="14"/>
      <c r="J105" s="21">
        <f>IF(H$12=0,0,H105/H$12)</f>
        <v>5.6485361878391052E-2</v>
      </c>
      <c r="K105" s="16"/>
      <c r="L105" s="20">
        <f>+D105-H105</f>
        <v>75859.107852846151</v>
      </c>
      <c r="M105" s="16"/>
      <c r="N105" s="21">
        <f>IF(H105=0,0,L105/H105)</f>
        <v>13.054932542713441</v>
      </c>
      <c r="O105" s="28"/>
      <c r="P105" s="20">
        <f>+P48-P50+P101</f>
        <v>57815.850000000108</v>
      </c>
      <c r="Q105" s="14"/>
      <c r="R105" s="21">
        <f>IF(P$12=0,0,P105/P$12)</f>
        <v>2.8627993891292398E-2</v>
      </c>
      <c r="S105" s="14"/>
      <c r="T105" s="20">
        <f>+T48-T50+T101</f>
        <v>241603.30536765003</v>
      </c>
      <c r="U105" s="14"/>
      <c r="V105" s="21">
        <f>IF(T$12=0,0,T105/T$12)</f>
        <v>0.13169959676689003</v>
      </c>
      <c r="W105" s="16"/>
      <c r="X105" s="20">
        <f>+P105-T105</f>
        <v>-183787.45536764991</v>
      </c>
      <c r="Y105" s="16"/>
      <c r="Z105" s="21">
        <f>IF(T105=0,0,X105/T105)</f>
        <v>-0.76069925901046265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2"/>
      <c r="B107" s="10" t="s">
        <v>128</v>
      </c>
      <c r="C107" s="10"/>
      <c r="D107" s="4">
        <v>101243.25</v>
      </c>
      <c r="E107" s="4"/>
      <c r="F107" s="12">
        <f>IF(D$12=0,0,D107/D$12)</f>
        <v>0.23595135847826607</v>
      </c>
      <c r="G107" s="4"/>
      <c r="H107" s="4">
        <v>26609</v>
      </c>
      <c r="I107" s="4"/>
      <c r="J107" s="12">
        <f>IF(H$12=0,0,H107/H$12)</f>
        <v>0.25866124893071002</v>
      </c>
      <c r="K107" s="4"/>
      <c r="L107" s="4">
        <f>+D107-H107</f>
        <v>74634.25</v>
      </c>
      <c r="M107" s="4"/>
      <c r="N107" s="12">
        <f>IF(H107=0,0,L107/H107)</f>
        <v>2.8048498628283665</v>
      </c>
      <c r="O107" s="10"/>
      <c r="P107" s="4">
        <v>416213.44</v>
      </c>
      <c r="Q107" s="4"/>
      <c r="R107" s="12">
        <f>IF(P$12=0,0,P107/P$12)</f>
        <v>0.20609150981597216</v>
      </c>
      <c r="S107" s="4"/>
      <c r="T107" s="4">
        <v>324413</v>
      </c>
      <c r="U107" s="4"/>
      <c r="V107" s="12">
        <f>IF(T$12=0,0,T107/T$12)</f>
        <v>0.17683972171209314</v>
      </c>
      <c r="W107" s="4"/>
      <c r="X107" s="4">
        <f>+P107-T107</f>
        <v>91800.44</v>
      </c>
      <c r="Y107" s="4"/>
      <c r="Z107" s="12">
        <f>IF(T107=0,0,X107/T107)</f>
        <v>0.28297398686242536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126</v>
      </c>
      <c r="C109" s="29"/>
      <c r="D109" s="34">
        <f>+D105-D107</f>
        <v>-19573.380000000005</v>
      </c>
      <c r="E109" s="14"/>
      <c r="F109" s="30">
        <f>IF(D$12=0,0,D109/D$12)</f>
        <v>-4.5616528519297081E-2</v>
      </c>
      <c r="G109" s="14"/>
      <c r="H109" s="34">
        <f>+H105-H107</f>
        <v>-20798.237852846156</v>
      </c>
      <c r="I109" s="14"/>
      <c r="J109" s="30">
        <f>IF(H$12=0,0,H109/H$12)</f>
        <v>-0.20217588705231895</v>
      </c>
      <c r="K109" s="16"/>
      <c r="L109" s="34">
        <f>D109-H109</f>
        <v>1224.8578528461512</v>
      </c>
      <c r="M109" s="16"/>
      <c r="N109" s="30">
        <f>IF(H109=0,0,L109/H109)</f>
        <v>-5.8892386052721978E-2</v>
      </c>
      <c r="O109" s="28"/>
      <c r="P109" s="34">
        <f>+P105-P107</f>
        <v>-358397.58999999991</v>
      </c>
      <c r="Q109" s="14"/>
      <c r="R109" s="30">
        <f>IF(P$12=0,0,P109/P$12)</f>
        <v>-0.17746351592467977</v>
      </c>
      <c r="S109" s="14"/>
      <c r="T109" s="34">
        <f>+T105-T107</f>
        <v>-82809.694632349972</v>
      </c>
      <c r="U109" s="14"/>
      <c r="V109" s="30">
        <f>IF(T$12=0,0,T109/T$12)</f>
        <v>-4.5140124945203128E-2</v>
      </c>
      <c r="W109" s="16"/>
      <c r="X109" s="34">
        <f>P109-T109</f>
        <v>-275587.89536764997</v>
      </c>
      <c r="Y109" s="16"/>
      <c r="Z109" s="30">
        <f>IF(T109=0,0,X109/T109)</f>
        <v>3.3279665695082801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9" t="s">
        <v>294</v>
      </c>
      <c r="C112" s="29"/>
      <c r="D112" s="31">
        <f>SUM(D109:D111)</f>
        <v>-19573.380000000005</v>
      </c>
      <c r="E112" s="14"/>
      <c r="F112" s="35">
        <f>IF(D$12=0,0,D112/D$12)</f>
        <v>-4.5616528519297081E-2</v>
      </c>
      <c r="G112" s="14"/>
      <c r="H112" s="31">
        <f>SUM(H109:H111)</f>
        <v>-20798.237852846156</v>
      </c>
      <c r="I112" s="14"/>
      <c r="J112" s="35">
        <f>IF(H$12=0,0,H112/H$12)</f>
        <v>-0.20217588705231895</v>
      </c>
      <c r="K112" s="16"/>
      <c r="L112" s="31">
        <f>+D112-H112</f>
        <v>1224.8578528461512</v>
      </c>
      <c r="M112" s="16"/>
      <c r="N112" s="35">
        <f>IF(H112=0,0,L112/H112)</f>
        <v>-5.8892386052721978E-2</v>
      </c>
      <c r="O112" s="28"/>
      <c r="P112" s="31">
        <f>SUM(P109:P111)</f>
        <v>-358397.58999999991</v>
      </c>
      <c r="Q112" s="14"/>
      <c r="R112" s="35">
        <f>IF(P$12=0,0,P112/P$12)</f>
        <v>-0.17746351592467977</v>
      </c>
      <c r="S112" s="14"/>
      <c r="T112" s="31">
        <f>SUM(T109:T111)</f>
        <v>-82809.694632349972</v>
      </c>
      <c r="U112" s="14"/>
      <c r="V112" s="35">
        <f>IF(T$12=0,0,T112/T$12)</f>
        <v>-4.5140124945203128E-2</v>
      </c>
      <c r="W112" s="16"/>
      <c r="X112" s="31">
        <f>+P112-T112</f>
        <v>-275587.89536764997</v>
      </c>
      <c r="Y112" s="16"/>
      <c r="Z112" s="35">
        <f>IF(T112=0,0,X112/T112)</f>
        <v>3.3279665695082801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6">
        <v>44295.961782557868</v>
      </c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A115" s="9"/>
      <c r="B115" s="53" t="s">
        <v>56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4" x14ac:dyDescent="0.25">
      <c r="A116" s="9"/>
      <c r="B116" s="54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429085.26</v>
      </c>
      <c r="E12" s="4"/>
      <c r="F12" s="12"/>
      <c r="G12" s="4"/>
      <c r="H12" s="4">
        <f>SUM(OSRRefH13x_0)</f>
        <v>102872</v>
      </c>
      <c r="I12" s="4"/>
      <c r="J12" s="12"/>
      <c r="K12" s="4"/>
      <c r="L12" s="4">
        <f t="shared" ref="L12:L30" si="0">+D12-H12</f>
        <v>326213.26</v>
      </c>
      <c r="M12" s="4"/>
      <c r="N12" s="12">
        <f t="shared" ref="N12:N30" si="1">IF(H12=0,0,L12/H12)</f>
        <v>3.171059763589704</v>
      </c>
      <c r="O12" s="10"/>
      <c r="P12" s="4">
        <f>SUM(OSRRefP13x_0)</f>
        <v>2019556.4600000002</v>
      </c>
      <c r="Q12" s="4"/>
      <c r="R12" s="12"/>
      <c r="S12" s="4"/>
      <c r="T12" s="4">
        <f>SUM(OSRRefT13x_0)</f>
        <v>1834503</v>
      </c>
      <c r="U12" s="4"/>
      <c r="V12" s="12"/>
      <c r="W12" s="4"/>
      <c r="X12" s="4">
        <f t="shared" ref="X12:X30" si="2">+P12-T12</f>
        <v>185053.4600000002</v>
      </c>
      <c r="Y12" s="4"/>
      <c r="Z12" s="12">
        <f t="shared" ref="Z12:Z30" si="3">IF(T12=0,0,X12/T12)</f>
        <v>0.10087389336512406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-36.19</f>
        <v>-36.19</v>
      </c>
      <c r="E13" s="2"/>
      <c r="F13" s="19"/>
      <c r="G13" s="2"/>
      <c r="H13" s="2">
        <v>83091</v>
      </c>
      <c r="I13" s="2"/>
      <c r="J13" s="19"/>
      <c r="K13" s="2"/>
      <c r="L13" s="2">
        <f t="shared" si="0"/>
        <v>-83127.19</v>
      </c>
      <c r="M13" s="2"/>
      <c r="N13" s="19">
        <f t="shared" si="1"/>
        <v>-1.0004355465694239</v>
      </c>
      <c r="O13" s="11"/>
      <c r="P13" s="2">
        <f>-2733.15</f>
        <v>-2733.15</v>
      </c>
      <c r="Q13" s="2"/>
      <c r="R13" s="19"/>
      <c r="S13" s="2"/>
      <c r="T13" s="2">
        <v>1704778</v>
      </c>
      <c r="U13" s="2"/>
      <c r="V13" s="19"/>
      <c r="W13" s="2"/>
      <c r="X13" s="2">
        <f t="shared" si="2"/>
        <v>-1707511.15</v>
      </c>
      <c r="Y13" s="2"/>
      <c r="Z13" s="19">
        <f t="shared" si="3"/>
        <v>-1.0016032292767738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--1204.4</f>
        <v>1204.4000000000001</v>
      </c>
      <c r="E14" s="2"/>
      <c r="F14" s="19"/>
      <c r="G14" s="2"/>
      <c r="H14" s="2"/>
      <c r="I14" s="2"/>
      <c r="J14" s="19"/>
      <c r="K14" s="2"/>
      <c r="L14" s="2">
        <f t="shared" si="0"/>
        <v>1204.4000000000001</v>
      </c>
      <c r="M14" s="2"/>
      <c r="N14" s="19">
        <f t="shared" si="1"/>
        <v>0</v>
      </c>
      <c r="O14" s="11"/>
      <c r="P14" s="2">
        <f>--60467.25</f>
        <v>60467.25</v>
      </c>
      <c r="Q14" s="2"/>
      <c r="R14" s="19"/>
      <c r="S14" s="2"/>
      <c r="T14" s="2"/>
      <c r="U14" s="2"/>
      <c r="V14" s="19"/>
      <c r="W14" s="2"/>
      <c r="X14" s="2">
        <f t="shared" si="2"/>
        <v>60467.25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--407027.89</f>
        <v>407027.89</v>
      </c>
      <c r="E15" s="2"/>
      <c r="F15" s="19"/>
      <c r="G15" s="2"/>
      <c r="H15" s="2"/>
      <c r="I15" s="2"/>
      <c r="J15" s="19"/>
      <c r="K15" s="2"/>
      <c r="L15" s="2">
        <f t="shared" si="0"/>
        <v>407027.89</v>
      </c>
      <c r="M15" s="2"/>
      <c r="N15" s="19">
        <f t="shared" si="1"/>
        <v>0</v>
      </c>
      <c r="O15" s="11"/>
      <c r="P15" s="2">
        <f>--1657866.36</f>
        <v>1657866.36</v>
      </c>
      <c r="Q15" s="2"/>
      <c r="R15" s="19"/>
      <c r="S15" s="2"/>
      <c r="T15" s="2"/>
      <c r="U15" s="2"/>
      <c r="V15" s="19"/>
      <c r="W15" s="2"/>
      <c r="X15" s="2">
        <f t="shared" si="2"/>
        <v>1657866.36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--22860.44</f>
        <v>22860.44</v>
      </c>
      <c r="E16" s="2"/>
      <c r="F16" s="19"/>
      <c r="G16" s="2"/>
      <c r="H16" s="2"/>
      <c r="I16" s="2"/>
      <c r="J16" s="19"/>
      <c r="K16" s="2"/>
      <c r="L16" s="2">
        <f t="shared" si="0"/>
        <v>22860.44</v>
      </c>
      <c r="M16" s="2"/>
      <c r="N16" s="19">
        <f t="shared" si="1"/>
        <v>0</v>
      </c>
      <c r="O16" s="11"/>
      <c r="P16" s="2">
        <f>--119659.27</f>
        <v>119659.27</v>
      </c>
      <c r="Q16" s="2"/>
      <c r="R16" s="19"/>
      <c r="S16" s="2"/>
      <c r="T16" s="2"/>
      <c r="U16" s="2"/>
      <c r="V16" s="19"/>
      <c r="W16" s="2"/>
      <c r="X16" s="2">
        <f t="shared" si="2"/>
        <v>119659.27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--219.98</f>
        <v>219.98</v>
      </c>
      <c r="E17" s="2"/>
      <c r="F17" s="19"/>
      <c r="G17" s="2"/>
      <c r="H17" s="2"/>
      <c r="I17" s="2"/>
      <c r="J17" s="19"/>
      <c r="K17" s="2"/>
      <c r="L17" s="2">
        <f t="shared" si="0"/>
        <v>219.98</v>
      </c>
      <c r="M17" s="2"/>
      <c r="N17" s="19">
        <f t="shared" si="1"/>
        <v>0</v>
      </c>
      <c r="O17" s="11"/>
      <c r="P17" s="2">
        <f>--3098.91</f>
        <v>3098.91</v>
      </c>
      <c r="Q17" s="2"/>
      <c r="R17" s="19"/>
      <c r="S17" s="2"/>
      <c r="T17" s="2"/>
      <c r="U17" s="2"/>
      <c r="V17" s="19"/>
      <c r="W17" s="2"/>
      <c r="X17" s="2">
        <f t="shared" si="2"/>
        <v>3098.91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--503.73</f>
        <v>503.73</v>
      </c>
      <c r="E18" s="2"/>
      <c r="F18" s="19"/>
      <c r="G18" s="2"/>
      <c r="H18" s="2"/>
      <c r="I18" s="2"/>
      <c r="J18" s="19"/>
      <c r="K18" s="2"/>
      <c r="L18" s="2">
        <f t="shared" si="0"/>
        <v>503.73</v>
      </c>
      <c r="M18" s="2"/>
      <c r="N18" s="19">
        <f t="shared" si="1"/>
        <v>0</v>
      </c>
      <c r="O18" s="11"/>
      <c r="P18" s="2">
        <f>--59450.9</f>
        <v>59450.9</v>
      </c>
      <c r="Q18" s="2"/>
      <c r="R18" s="19"/>
      <c r="S18" s="2"/>
      <c r="T18" s="2"/>
      <c r="U18" s="2"/>
      <c r="V18" s="19"/>
      <c r="W18" s="2"/>
      <c r="X18" s="2">
        <f t="shared" si="2"/>
        <v>59450.9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19781</v>
      </c>
      <c r="I19" s="2"/>
      <c r="J19" s="19"/>
      <c r="K19" s="2"/>
      <c r="L19" s="2">
        <f t="shared" si="0"/>
        <v>-19781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129725</v>
      </c>
      <c r="U19" s="2"/>
      <c r="V19" s="19"/>
      <c r="W19" s="2"/>
      <c r="X19" s="2">
        <f t="shared" si="2"/>
        <v>-129725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--285.97</f>
        <v>285.97000000000003</v>
      </c>
      <c r="E20" s="2"/>
      <c r="F20" s="19"/>
      <c r="G20" s="2"/>
      <c r="H20" s="2"/>
      <c r="I20" s="2"/>
      <c r="J20" s="19"/>
      <c r="K20" s="2"/>
      <c r="L20" s="2">
        <f t="shared" si="0"/>
        <v>285.97000000000003</v>
      </c>
      <c r="M20" s="2"/>
      <c r="N20" s="19">
        <f t="shared" si="1"/>
        <v>0</v>
      </c>
      <c r="O20" s="11"/>
      <c r="P20" s="2">
        <f>--12478.63</f>
        <v>12478.63</v>
      </c>
      <c r="Q20" s="2"/>
      <c r="R20" s="19"/>
      <c r="S20" s="2"/>
      <c r="T20" s="2"/>
      <c r="U20" s="2"/>
      <c r="V20" s="19"/>
      <c r="W20" s="2"/>
      <c r="X20" s="2">
        <f t="shared" si="2"/>
        <v>12478.63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--33767.84</f>
        <v>33767.839999999997</v>
      </c>
      <c r="E21" s="2"/>
      <c r="F21" s="19"/>
      <c r="G21" s="2"/>
      <c r="H21" s="2"/>
      <c r="I21" s="2"/>
      <c r="J21" s="19"/>
      <c r="K21" s="2"/>
      <c r="L21" s="2">
        <f t="shared" si="0"/>
        <v>33767.839999999997</v>
      </c>
      <c r="M21" s="2"/>
      <c r="N21" s="19">
        <f t="shared" si="1"/>
        <v>0</v>
      </c>
      <c r="O21" s="11"/>
      <c r="P21" s="2">
        <f>--253414.83</f>
        <v>253414.83</v>
      </c>
      <c r="Q21" s="2"/>
      <c r="R21" s="19"/>
      <c r="S21" s="2"/>
      <c r="T21" s="2"/>
      <c r="U21" s="2"/>
      <c r="V21" s="19"/>
      <c r="W21" s="2"/>
      <c r="X21" s="2">
        <f t="shared" si="2"/>
        <v>253414.83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--2983.61</f>
        <v>2983.61</v>
      </c>
      <c r="E22" s="2"/>
      <c r="F22" s="19"/>
      <c r="G22" s="2"/>
      <c r="H22" s="2"/>
      <c r="I22" s="2"/>
      <c r="J22" s="19"/>
      <c r="K22" s="2"/>
      <c r="L22" s="2">
        <f t="shared" si="0"/>
        <v>2983.61</v>
      </c>
      <c r="M22" s="2"/>
      <c r="N22" s="19">
        <f t="shared" si="1"/>
        <v>0</v>
      </c>
      <c r="O22" s="11"/>
      <c r="P22" s="2">
        <f>--16606.43</f>
        <v>16606.43</v>
      </c>
      <c r="Q22" s="2"/>
      <c r="R22" s="19"/>
      <c r="S22" s="2"/>
      <c r="T22" s="2"/>
      <c r="U22" s="2"/>
      <c r="V22" s="19"/>
      <c r="W22" s="2"/>
      <c r="X22" s="2">
        <f t="shared" si="2"/>
        <v>16606.43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--3559.59</f>
        <v>3559.59</v>
      </c>
      <c r="E23" s="2"/>
      <c r="F23" s="19"/>
      <c r="G23" s="2"/>
      <c r="H23" s="2"/>
      <c r="I23" s="2"/>
      <c r="J23" s="19"/>
      <c r="K23" s="2"/>
      <c r="L23" s="2">
        <f t="shared" si="0"/>
        <v>3559.59</v>
      </c>
      <c r="M23" s="2"/>
      <c r="N23" s="19">
        <f t="shared" si="1"/>
        <v>0</v>
      </c>
      <c r="O23" s="11"/>
      <c r="P23" s="2">
        <f>--38686.78</f>
        <v>38686.78</v>
      </c>
      <c r="Q23" s="2"/>
      <c r="R23" s="19"/>
      <c r="S23" s="2"/>
      <c r="T23" s="2"/>
      <c r="U23" s="2"/>
      <c r="V23" s="19"/>
      <c r="W23" s="2"/>
      <c r="X23" s="2">
        <f t="shared" si="2"/>
        <v>38686.78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--424.94</f>
        <v>424.94</v>
      </c>
      <c r="E24" s="2"/>
      <c r="F24" s="19"/>
      <c r="G24" s="2"/>
      <c r="H24" s="2"/>
      <c r="I24" s="2"/>
      <c r="J24" s="19"/>
      <c r="K24" s="2"/>
      <c r="L24" s="2">
        <f t="shared" si="0"/>
        <v>424.94</v>
      </c>
      <c r="M24" s="2"/>
      <c r="N24" s="19">
        <f t="shared" si="1"/>
        <v>0</v>
      </c>
      <c r="O24" s="11"/>
      <c r="P24" s="2">
        <f>--3255.2</f>
        <v>3255.2</v>
      </c>
      <c r="Q24" s="2"/>
      <c r="R24" s="19"/>
      <c r="S24" s="2"/>
      <c r="T24" s="2"/>
      <c r="U24" s="2"/>
      <c r="V24" s="19"/>
      <c r="W24" s="2"/>
      <c r="X24" s="2">
        <f t="shared" si="2"/>
        <v>3255.2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-14762.14</f>
        <v>-14762.14</v>
      </c>
      <c r="Q25" s="2"/>
      <c r="R25" s="19"/>
      <c r="S25" s="2"/>
      <c r="T25" s="2"/>
      <c r="U25" s="2"/>
      <c r="V25" s="19"/>
      <c r="W25" s="2"/>
      <c r="X25" s="2">
        <f t="shared" si="2"/>
        <v>-14762.14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-43137</f>
        <v>-43137</v>
      </c>
      <c r="E26" s="2"/>
      <c r="F26" s="19"/>
      <c r="G26" s="2"/>
      <c r="H26" s="2"/>
      <c r="I26" s="2"/>
      <c r="J26" s="19"/>
      <c r="K26" s="2"/>
      <c r="L26" s="2">
        <f t="shared" si="0"/>
        <v>-43137</v>
      </c>
      <c r="M26" s="2"/>
      <c r="N26" s="19">
        <f t="shared" si="1"/>
        <v>0</v>
      </c>
      <c r="O26" s="11"/>
      <c r="P26" s="2">
        <f>-172765.16</f>
        <v>-172765.16</v>
      </c>
      <c r="Q26" s="2"/>
      <c r="R26" s="19"/>
      <c r="S26" s="2"/>
      <c r="T26" s="2"/>
      <c r="U26" s="2"/>
      <c r="V26" s="19"/>
      <c r="W26" s="2"/>
      <c r="X26" s="2">
        <f t="shared" si="2"/>
        <v>-172765.16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-389.97</f>
        <v>-389.97</v>
      </c>
      <c r="E27" s="2"/>
      <c r="F27" s="19"/>
      <c r="G27" s="2"/>
      <c r="H27" s="2"/>
      <c r="I27" s="2"/>
      <c r="J27" s="19"/>
      <c r="K27" s="2"/>
      <c r="L27" s="2">
        <f t="shared" si="0"/>
        <v>-389.97</v>
      </c>
      <c r="M27" s="2"/>
      <c r="N27" s="19">
        <f t="shared" si="1"/>
        <v>0</v>
      </c>
      <c r="O27" s="11"/>
      <c r="P27" s="2">
        <f>-3749.25</f>
        <v>-3749.25</v>
      </c>
      <c r="Q27" s="2"/>
      <c r="R27" s="19"/>
      <c r="S27" s="2"/>
      <c r="T27" s="2"/>
      <c r="U27" s="2"/>
      <c r="V27" s="19"/>
      <c r="W27" s="2"/>
      <c r="X27" s="2">
        <f t="shared" si="2"/>
        <v>-3749.25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-149.99</f>
        <v>-149.99</v>
      </c>
      <c r="E28" s="2"/>
      <c r="F28" s="19"/>
      <c r="G28" s="2"/>
      <c r="H28" s="2"/>
      <c r="I28" s="2"/>
      <c r="J28" s="19"/>
      <c r="K28" s="2"/>
      <c r="L28" s="2">
        <f t="shared" si="0"/>
        <v>-149.99</v>
      </c>
      <c r="M28" s="2"/>
      <c r="N28" s="19">
        <f t="shared" si="1"/>
        <v>0</v>
      </c>
      <c r="O28" s="11"/>
      <c r="P28" s="2">
        <f>-991.96</f>
        <v>-991.96</v>
      </c>
      <c r="Q28" s="2"/>
      <c r="R28" s="19"/>
      <c r="S28" s="2"/>
      <c r="T28" s="2"/>
      <c r="U28" s="2"/>
      <c r="V28" s="19"/>
      <c r="W28" s="2"/>
      <c r="X28" s="2">
        <f t="shared" si="2"/>
        <v>-991.96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-39.98</f>
        <v>-39.979999999999997</v>
      </c>
      <c r="E29" s="2"/>
      <c r="F29" s="19"/>
      <c r="G29" s="2"/>
      <c r="H29" s="2"/>
      <c r="I29" s="2"/>
      <c r="J29" s="19"/>
      <c r="K29" s="2"/>
      <c r="L29" s="2">
        <f t="shared" si="0"/>
        <v>-39.979999999999997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257</v>
      </c>
      <c r="C32" s="10"/>
      <c r="D32" s="4">
        <f>SUM(OSRRefD16x_0)</f>
        <v>356026</v>
      </c>
      <c r="E32" s="4"/>
      <c r="F32" s="12">
        <f t="shared" ref="F32:F46" si="4">IF(D$12=0,0,D32/D$12)</f>
        <v>0.82973253380924805</v>
      </c>
      <c r="G32" s="4"/>
      <c r="H32" s="4">
        <f>SUM(OSRRefH16x_0)</f>
        <v>80339</v>
      </c>
      <c r="I32" s="4"/>
      <c r="J32" s="12">
        <f t="shared" ref="J32:J46" si="5">IF(H$12=0,0,H32/H$12)</f>
        <v>0.78096080566140447</v>
      </c>
      <c r="K32" s="4"/>
      <c r="L32" s="4">
        <f t="shared" ref="L32:L46" si="6">+D32-H32</f>
        <v>275687</v>
      </c>
      <c r="M32" s="4"/>
      <c r="N32" s="12">
        <f t="shared" ref="N32:N46" si="7">IF(H32=0,0,L32/H32)</f>
        <v>3.4315463224585816</v>
      </c>
      <c r="O32" s="10"/>
      <c r="P32" s="4">
        <f>SUM(OSRRefP16x_0)</f>
        <v>1864521.84</v>
      </c>
      <c r="Q32" s="4"/>
      <c r="R32" s="12">
        <f t="shared" ref="R32:R46" si="8">IF(P$12=0,0,P32/P$12)</f>
        <v>0.92323333213472025</v>
      </c>
      <c r="S32" s="4"/>
      <c r="T32" s="4">
        <f>SUM(OSRRefT16x_0)</f>
        <v>1432679</v>
      </c>
      <c r="U32" s="4"/>
      <c r="V32" s="12">
        <f t="shared" ref="V32:V46" si="9">IF(T$12=0,0,T32/T$12)</f>
        <v>0.78096301832158355</v>
      </c>
      <c r="W32" s="4"/>
      <c r="X32" s="4">
        <f t="shared" ref="X32:X46" si="10">+P32-T32</f>
        <v>431842.84000000008</v>
      </c>
      <c r="Y32" s="4"/>
      <c r="Z32" s="12">
        <f t="shared" ref="Z32:Z46" si="11">IF(T32=0,0,X32/T32)</f>
        <v>0.30142330556949609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4"/>
        <v>0</v>
      </c>
      <c r="G33" s="2"/>
      <c r="H33" s="2">
        <v>80339</v>
      </c>
      <c r="I33" s="2"/>
      <c r="J33" s="19">
        <f t="shared" si="5"/>
        <v>0.78096080566140447</v>
      </c>
      <c r="K33" s="2"/>
      <c r="L33" s="2">
        <f t="shared" si="6"/>
        <v>-80339</v>
      </c>
      <c r="M33" s="2"/>
      <c r="N33" s="19">
        <f t="shared" si="7"/>
        <v>-1</v>
      </c>
      <c r="O33" s="11"/>
      <c r="P33" s="2">
        <v>0</v>
      </c>
      <c r="Q33" s="2"/>
      <c r="R33" s="19">
        <f t="shared" si="8"/>
        <v>0</v>
      </c>
      <c r="S33" s="2"/>
      <c r="T33" s="2">
        <v>1432679</v>
      </c>
      <c r="U33" s="2"/>
      <c r="V33" s="19">
        <f t="shared" si="9"/>
        <v>0.78096301832158355</v>
      </c>
      <c r="W33" s="2"/>
      <c r="X33" s="2">
        <f t="shared" si="10"/>
        <v>-1432679</v>
      </c>
      <c r="Y33" s="2"/>
      <c r="Z33" s="19">
        <f t="shared" si="11"/>
        <v>-1</v>
      </c>
    </row>
    <row r="34" spans="1:26" s="24" customFormat="1" hidden="1" outlineLevel="1" x14ac:dyDescent="0.25">
      <c r="A34" s="44"/>
      <c r="B34" s="11" t="str">
        <f>CONCATENATE("          ", "5081", " - ", "PURCHASES @ COST-ELECTRONICS")</f>
        <v xml:space="preserve">          5081 - PURCHASES @ COST-ELECTRONICS</v>
      </c>
      <c r="C34" s="11"/>
      <c r="D34" s="2">
        <v>309.97000000000003</v>
      </c>
      <c r="E34" s="2"/>
      <c r="F34" s="19">
        <f t="shared" si="4"/>
        <v>7.2239722240750013E-4</v>
      </c>
      <c r="G34" s="2"/>
      <c r="H34" s="2"/>
      <c r="I34" s="2"/>
      <c r="J34" s="19">
        <f t="shared" si="5"/>
        <v>0</v>
      </c>
      <c r="K34" s="2"/>
      <c r="L34" s="2">
        <f t="shared" si="6"/>
        <v>309.97000000000003</v>
      </c>
      <c r="M34" s="2"/>
      <c r="N34" s="19">
        <f t="shared" si="7"/>
        <v>0</v>
      </c>
      <c r="O34" s="11"/>
      <c r="P34" s="2">
        <v>32467.87</v>
      </c>
      <c r="Q34" s="2"/>
      <c r="R34" s="19">
        <f t="shared" si="8"/>
        <v>1.6076733007008872E-2</v>
      </c>
      <c r="S34" s="2"/>
      <c r="T34" s="2"/>
      <c r="U34" s="2"/>
      <c r="V34" s="19">
        <f t="shared" si="9"/>
        <v>0</v>
      </c>
      <c r="W34" s="2"/>
      <c r="X34" s="2">
        <f t="shared" si="10"/>
        <v>32467.87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132715.92000000001</v>
      </c>
      <c r="E35" s="2"/>
      <c r="F35" s="19">
        <f t="shared" si="4"/>
        <v>0.30929964827969159</v>
      </c>
      <c r="G35" s="2"/>
      <c r="H35" s="2"/>
      <c r="I35" s="2"/>
      <c r="J35" s="19">
        <f t="shared" si="5"/>
        <v>0</v>
      </c>
      <c r="K35" s="2"/>
      <c r="L35" s="2">
        <f t="shared" si="6"/>
        <v>132715.92000000001</v>
      </c>
      <c r="M35" s="2"/>
      <c r="N35" s="19">
        <f t="shared" si="7"/>
        <v>0</v>
      </c>
      <c r="O35" s="11"/>
      <c r="P35" s="2">
        <v>1396293.76</v>
      </c>
      <c r="Q35" s="2"/>
      <c r="R35" s="19">
        <f t="shared" si="8"/>
        <v>0.69138634529682819</v>
      </c>
      <c r="S35" s="2"/>
      <c r="T35" s="2"/>
      <c r="U35" s="2"/>
      <c r="V35" s="19">
        <f t="shared" si="9"/>
        <v>0</v>
      </c>
      <c r="W35" s="2"/>
      <c r="X35" s="2">
        <f t="shared" si="10"/>
        <v>1396293.76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6015.06</v>
      </c>
      <c r="E36" s="2"/>
      <c r="F36" s="19">
        <f t="shared" si="4"/>
        <v>1.4018332860000831E-2</v>
      </c>
      <c r="G36" s="2"/>
      <c r="H36" s="2"/>
      <c r="I36" s="2"/>
      <c r="J36" s="19">
        <f t="shared" si="5"/>
        <v>0</v>
      </c>
      <c r="K36" s="2"/>
      <c r="L36" s="2">
        <f t="shared" si="6"/>
        <v>6015.06</v>
      </c>
      <c r="M36" s="2"/>
      <c r="N36" s="19">
        <f t="shared" si="7"/>
        <v>0</v>
      </c>
      <c r="O36" s="11"/>
      <c r="P36" s="2">
        <v>105203.33</v>
      </c>
      <c r="Q36" s="2"/>
      <c r="R36" s="19">
        <f t="shared" si="8"/>
        <v>5.2092294562539734E-2</v>
      </c>
      <c r="S36" s="2"/>
      <c r="T36" s="2"/>
      <c r="U36" s="2"/>
      <c r="V36" s="19">
        <f t="shared" si="9"/>
        <v>0</v>
      </c>
      <c r="W36" s="2"/>
      <c r="X36" s="2">
        <f t="shared" si="10"/>
        <v>105203.33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"5085", " - ", "PURCHASES @ COST-SOFTWARE")</f>
        <v xml:space="preserve">          5085 - PURCHASES @ COST-SOFTWARE</v>
      </c>
      <c r="C37" s="11"/>
      <c r="D37" s="2">
        <v>3753.26</v>
      </c>
      <c r="E37" s="2"/>
      <c r="F37" s="19">
        <f t="shared" si="4"/>
        <v>8.7471193953388201E-3</v>
      </c>
      <c r="G37" s="2"/>
      <c r="H37" s="2"/>
      <c r="I37" s="2"/>
      <c r="J37" s="19">
        <f t="shared" si="5"/>
        <v>0</v>
      </c>
      <c r="K37" s="2"/>
      <c r="L37" s="2">
        <f t="shared" si="6"/>
        <v>3753.26</v>
      </c>
      <c r="M37" s="2"/>
      <c r="N37" s="19">
        <f t="shared" si="7"/>
        <v>0</v>
      </c>
      <c r="O37" s="11"/>
      <c r="P37" s="2">
        <v>33898.71</v>
      </c>
      <c r="Q37" s="2"/>
      <c r="R37" s="19">
        <f t="shared" si="8"/>
        <v>1.6785225207321015E-2</v>
      </c>
      <c r="S37" s="2"/>
      <c r="T37" s="2"/>
      <c r="U37" s="2"/>
      <c r="V37" s="19">
        <f t="shared" si="9"/>
        <v>0</v>
      </c>
      <c r="W37" s="2"/>
      <c r="X37" s="2">
        <f t="shared" si="10"/>
        <v>33898.71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525.71</v>
      </c>
      <c r="E38" s="2"/>
      <c r="F38" s="19">
        <f t="shared" si="4"/>
        <v>1.2251877400775782E-3</v>
      </c>
      <c r="G38" s="2"/>
      <c r="H38" s="2"/>
      <c r="I38" s="2"/>
      <c r="J38" s="19">
        <f t="shared" si="5"/>
        <v>0</v>
      </c>
      <c r="K38" s="2"/>
      <c r="L38" s="2">
        <f t="shared" si="6"/>
        <v>525.71</v>
      </c>
      <c r="M38" s="2"/>
      <c r="N38" s="19">
        <f t="shared" si="7"/>
        <v>0</v>
      </c>
      <c r="O38" s="11"/>
      <c r="P38" s="2">
        <v>23650.99</v>
      </c>
      <c r="Q38" s="2"/>
      <c r="R38" s="19">
        <f t="shared" si="8"/>
        <v>1.1710982321336041E-2</v>
      </c>
      <c r="S38" s="2"/>
      <c r="T38" s="2"/>
      <c r="U38" s="2"/>
      <c r="V38" s="19">
        <f t="shared" si="9"/>
        <v>0</v>
      </c>
      <c r="W38" s="2"/>
      <c r="X38" s="2">
        <f t="shared" si="10"/>
        <v>23650.99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"5200", " - ", "PURCHASES OFFSET")</f>
        <v xml:space="preserve">          5200 - PURCHASES OFFSET</v>
      </c>
      <c r="C39" s="11"/>
      <c r="D39" s="2">
        <v>-143329.32999999999</v>
      </c>
      <c r="E39" s="2"/>
      <c r="F39" s="19">
        <f t="shared" si="4"/>
        <v>-0.33403461587098093</v>
      </c>
      <c r="G39" s="2"/>
      <c r="H39" s="2"/>
      <c r="I39" s="2"/>
      <c r="J39" s="19">
        <f t="shared" si="5"/>
        <v>0</v>
      </c>
      <c r="K39" s="2"/>
      <c r="L39" s="2">
        <f t="shared" si="6"/>
        <v>-143329.32999999999</v>
      </c>
      <c r="M39" s="2"/>
      <c r="N39" s="19">
        <f t="shared" si="7"/>
        <v>0</v>
      </c>
      <c r="O39" s="11"/>
      <c r="P39" s="2">
        <v>-1588000.81</v>
      </c>
      <c r="Q39" s="2"/>
      <c r="R39" s="19">
        <f t="shared" si="8"/>
        <v>-0.78631166865223456</v>
      </c>
      <c r="S39" s="2"/>
      <c r="T39" s="2"/>
      <c r="U39" s="2"/>
      <c r="V39" s="19">
        <f t="shared" si="9"/>
        <v>0</v>
      </c>
      <c r="W39" s="2"/>
      <c r="X39" s="2">
        <f t="shared" si="10"/>
        <v>-1588000.81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"5300", " - ", "COG$ OFFSET")</f>
        <v xml:space="preserve">          5300 - COG$ OFFSET</v>
      </c>
      <c r="C40" s="11"/>
      <c r="D40" s="2">
        <v>356026</v>
      </c>
      <c r="E40" s="2"/>
      <c r="F40" s="19">
        <f t="shared" si="4"/>
        <v>0.82973253380924805</v>
      </c>
      <c r="G40" s="2"/>
      <c r="H40" s="2"/>
      <c r="I40" s="2"/>
      <c r="J40" s="19">
        <f t="shared" si="5"/>
        <v>0</v>
      </c>
      <c r="K40" s="2"/>
      <c r="L40" s="2">
        <f t="shared" si="6"/>
        <v>356026</v>
      </c>
      <c r="M40" s="2"/>
      <c r="N40" s="19">
        <f t="shared" si="7"/>
        <v>0</v>
      </c>
      <c r="O40" s="11"/>
      <c r="P40" s="2">
        <v>1860576</v>
      </c>
      <c r="Q40" s="2"/>
      <c r="R40" s="19">
        <f t="shared" si="8"/>
        <v>0.92127951698859656</v>
      </c>
      <c r="S40" s="2"/>
      <c r="T40" s="2"/>
      <c r="U40" s="2"/>
      <c r="V40" s="19">
        <f t="shared" si="9"/>
        <v>0</v>
      </c>
      <c r="W40" s="2"/>
      <c r="X40" s="2">
        <f t="shared" si="10"/>
        <v>1860576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"5500", " - ", "FREIGHT-IN")</f>
        <v xml:space="preserve">          5500 - FREIGHT-IN</v>
      </c>
      <c r="C41" s="11"/>
      <c r="D41" s="2"/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"5581", " - ", "FREIGHT-IN-ELECTRONICS")</f>
        <v xml:space="preserve">          5581 - FREIGHT-IN-ELECTRONICS</v>
      </c>
      <c r="C42" s="11"/>
      <c r="D42" s="2"/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31</v>
      </c>
      <c r="Q42" s="2"/>
      <c r="R42" s="19">
        <f t="shared" si="8"/>
        <v>1.534990509747868E-5</v>
      </c>
      <c r="S42" s="2"/>
      <c r="T42" s="2"/>
      <c r="U42" s="2"/>
      <c r="V42" s="19">
        <f t="shared" si="9"/>
        <v>0</v>
      </c>
      <c r="W42" s="2"/>
      <c r="X42" s="2">
        <f t="shared" si="10"/>
        <v>31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"5582", " - ", "FREIGHT-IN-COMPUTER HARDWARE")</f>
        <v xml:space="preserve">          5582 - FREIGHT-IN-COMPUTER HARDWARE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125</v>
      </c>
      <c r="Q43" s="2"/>
      <c r="R43" s="19">
        <f t="shared" si="8"/>
        <v>6.1894778618865645E-5</v>
      </c>
      <c r="S43" s="2"/>
      <c r="T43" s="2"/>
      <c r="U43" s="2"/>
      <c r="V43" s="19">
        <f t="shared" si="9"/>
        <v>0</v>
      </c>
      <c r="W43" s="2"/>
      <c r="X43" s="2">
        <f t="shared" si="10"/>
        <v>125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"5583", " - ", "FREIGHT-IN-COMPUTER EQUIPMENT")</f>
        <v xml:space="preserve">          5583 - FREIGHT-IN-COMPUTER EQUIPMENT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242.46</v>
      </c>
      <c r="Q44" s="2"/>
      <c r="R44" s="19">
        <f t="shared" si="8"/>
        <v>1.2005606419144131E-4</v>
      </c>
      <c r="S44" s="2"/>
      <c r="T44" s="2"/>
      <c r="U44" s="2"/>
      <c r="V44" s="19">
        <f t="shared" si="9"/>
        <v>0</v>
      </c>
      <c r="W44" s="2"/>
      <c r="X44" s="2">
        <f t="shared" si="10"/>
        <v>242.46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"5585", " - ", "FREIGHT-IN-SOFTWARE")</f>
        <v xml:space="preserve">          5585 - FREIGHT-IN-SOFTWARE</v>
      </c>
      <c r="C45" s="11"/>
      <c r="D45" s="2">
        <v>9.41</v>
      </c>
      <c r="E45" s="2"/>
      <c r="F45" s="19">
        <f t="shared" si="4"/>
        <v>2.1930373464704893E-5</v>
      </c>
      <c r="G45" s="2"/>
      <c r="H45" s="2"/>
      <c r="I45" s="2"/>
      <c r="J45" s="19">
        <f t="shared" si="5"/>
        <v>0</v>
      </c>
      <c r="K45" s="2"/>
      <c r="L45" s="2">
        <f t="shared" si="6"/>
        <v>9.41</v>
      </c>
      <c r="M45" s="2"/>
      <c r="N45" s="19">
        <f t="shared" si="7"/>
        <v>0</v>
      </c>
      <c r="O45" s="11"/>
      <c r="P45" s="2">
        <v>9.41</v>
      </c>
      <c r="Q45" s="2"/>
      <c r="R45" s="19">
        <f t="shared" si="8"/>
        <v>4.6594389344282054E-6</v>
      </c>
      <c r="S45" s="2"/>
      <c r="T45" s="2"/>
      <c r="U45" s="2"/>
      <c r="V45" s="19">
        <f t="shared" si="9"/>
        <v>0</v>
      </c>
      <c r="W45" s="2"/>
      <c r="X45" s="2">
        <f t="shared" si="10"/>
        <v>9.41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"5586", " - ", "FREIGHT-IN-COMPUTER SUPPLIES")</f>
        <v xml:space="preserve">          5586 - FREIGHT-IN-COMPUTER SUPPLIES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24.12</v>
      </c>
      <c r="Q46" s="2"/>
      <c r="R46" s="19">
        <f t="shared" si="8"/>
        <v>1.1943216482296315E-5</v>
      </c>
      <c r="S46" s="2"/>
      <c r="T46" s="2"/>
      <c r="U46" s="2"/>
      <c r="V46" s="19">
        <f t="shared" si="9"/>
        <v>0</v>
      </c>
      <c r="W46" s="2"/>
      <c r="X46" s="2">
        <f t="shared" si="10"/>
        <v>24.12</v>
      </c>
      <c r="Y46" s="2"/>
      <c r="Z46" s="19">
        <f t="shared" si="11"/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9" t="s">
        <v>108</v>
      </c>
      <c r="C48" s="29"/>
      <c r="D48" s="20">
        <f>D12-D32</f>
        <v>73059.260000000009</v>
      </c>
      <c r="E48" s="14"/>
      <c r="F48" s="21">
        <f>IF(D$12=0,0,D48/D$12)</f>
        <v>0.17026746619075195</v>
      </c>
      <c r="G48" s="14"/>
      <c r="H48" s="20">
        <f>H12-H32</f>
        <v>22533</v>
      </c>
      <c r="I48" s="14"/>
      <c r="J48" s="21">
        <f>IF(H$12=0,0,H48/H$12)</f>
        <v>0.21903919433859553</v>
      </c>
      <c r="K48" s="16"/>
      <c r="L48" s="20">
        <f>+D48-H48</f>
        <v>50526.260000000009</v>
      </c>
      <c r="M48" s="16"/>
      <c r="N48" s="21">
        <f>IF(H48=0,0,L48/H48)</f>
        <v>2.242322815426264</v>
      </c>
      <c r="O48" s="28"/>
      <c r="P48" s="20">
        <f>P12-P32</f>
        <v>155034.62000000011</v>
      </c>
      <c r="Q48" s="14"/>
      <c r="R48" s="21">
        <f>IF(P$12=0,0,P48/P$12)</f>
        <v>7.6766667865279734E-2</v>
      </c>
      <c r="S48" s="14"/>
      <c r="T48" s="20">
        <f>T12-T32</f>
        <v>401824</v>
      </c>
      <c r="U48" s="14"/>
      <c r="V48" s="21">
        <f>IF(T$12=0,0,T48/T$12)</f>
        <v>0.21903698167841645</v>
      </c>
      <c r="W48" s="16"/>
      <c r="X48" s="20">
        <f>+P48-T48</f>
        <v>-246789.37999999989</v>
      </c>
      <c r="Y48" s="16"/>
      <c r="Z48" s="21">
        <f>IF(T48=0,0,X48/T48)</f>
        <v>-0.61417282193198985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8" t="s">
        <v>295</v>
      </c>
      <c r="C50" s="10"/>
      <c r="D50" s="22">
        <f>SUM(OSRRefD22x_0)</f>
        <v>16950.63</v>
      </c>
      <c r="E50" s="22"/>
      <c r="F50" s="32">
        <f t="shared" ref="F50:F61" si="12">IF(D$12=0,0,D50/D$12)</f>
        <v>3.9504106946018143E-2</v>
      </c>
      <c r="G50" s="22"/>
      <c r="H50" s="22">
        <f>SUM(OSRRefH22x_0)</f>
        <v>17540.237852846156</v>
      </c>
      <c r="I50" s="22"/>
      <c r="J50" s="32">
        <f t="shared" ref="J50:J61" si="13">IF(H$12=0,0,H50/H$12)</f>
        <v>0.17050546166931874</v>
      </c>
      <c r="K50" s="4"/>
      <c r="L50" s="22">
        <f t="shared" ref="L50:L61" si="14">+D50-H50</f>
        <v>-589.60785284615486</v>
      </c>
      <c r="M50" s="4"/>
      <c r="N50" s="32">
        <f t="shared" ref="N50:N61" si="15">IF(H50=0,0,L50/H50)</f>
        <v>-3.3614587087853115E-2</v>
      </c>
      <c r="O50" s="10"/>
      <c r="P50" s="22">
        <f>SUM(OSRRefP22x_0)</f>
        <v>124058.65000000001</v>
      </c>
      <c r="Q50" s="22"/>
      <c r="R50" s="32">
        <f t="shared" ref="R50:R61" si="16">IF(P$12=0,0,P50/P$12)</f>
        <v>6.1428661420042698E-2</v>
      </c>
      <c r="S50" s="22"/>
      <c r="T50" s="22">
        <f>SUM(OSRRefT22x_0)</f>
        <v>174810.69463234997</v>
      </c>
      <c r="U50" s="22"/>
      <c r="V50" s="32">
        <f t="shared" ref="V50:V61" si="17">IF(T$12=0,0,T50/T$12)</f>
        <v>9.5290492646973035E-2</v>
      </c>
      <c r="W50" s="4"/>
      <c r="X50" s="22">
        <f t="shared" ref="X50:X61" si="18">+P50-T50</f>
        <v>-50752.044632349964</v>
      </c>
      <c r="Y50" s="4"/>
      <c r="Z50" s="32">
        <f t="shared" ref="Z50:Z61" si="19">IF(T50=0,0,X50/T50)</f>
        <v>-0.29032574202103728</v>
      </c>
    </row>
    <row r="51" spans="1:26" s="25" customFormat="1" outlineLevel="1" collapsed="1" x14ac:dyDescent="0.25">
      <c r="A51" s="27"/>
      <c r="B51" s="13" t="str">
        <f>CONCATENATE("     ","*Benefits                                         ")</f>
        <v xml:space="preserve">     *Benefits                                         </v>
      </c>
      <c r="C51" s="13"/>
      <c r="D51" s="1">
        <f>SUM(OSRRefD22_0x_0)</f>
        <v>2924.3900000000003</v>
      </c>
      <c r="E51" s="1"/>
      <c r="F51" s="5">
        <f t="shared" si="12"/>
        <v>6.8154054045109829E-3</v>
      </c>
      <c r="G51" s="1"/>
      <c r="H51" s="1">
        <f>SUM(OSRRefH22_0x_0)</f>
        <v>2471.2478528461543</v>
      </c>
      <c r="I51" s="1"/>
      <c r="J51" s="5">
        <f t="shared" si="13"/>
        <v>2.4022550867545633E-2</v>
      </c>
      <c r="K51" s="1"/>
      <c r="L51" s="1">
        <f t="shared" si="14"/>
        <v>453.14214715384605</v>
      </c>
      <c r="M51" s="1"/>
      <c r="N51" s="5">
        <f t="shared" si="15"/>
        <v>0.18336572215205324</v>
      </c>
      <c r="O51" s="13"/>
      <c r="P51" s="1">
        <f>SUM(OSRRefP22_0x_0)</f>
        <v>26222.32</v>
      </c>
      <c r="Q51" s="1"/>
      <c r="R51" s="5">
        <f t="shared" si="16"/>
        <v>1.2984197530184424E-2</v>
      </c>
      <c r="S51" s="1"/>
      <c r="T51" s="1">
        <f>SUM(OSRRefT22_0x_0)</f>
        <v>23630.98096234999</v>
      </c>
      <c r="U51" s="1"/>
      <c r="V51" s="5">
        <f t="shared" si="17"/>
        <v>1.2881407641388424E-2</v>
      </c>
      <c r="W51" s="1"/>
      <c r="X51" s="1">
        <f t="shared" si="18"/>
        <v>2591.3390376500101</v>
      </c>
      <c r="Y51" s="1"/>
      <c r="Z51" s="5">
        <f t="shared" si="19"/>
        <v>0.10965854704798991</v>
      </c>
    </row>
    <row r="52" spans="1:26" s="24" customFormat="1" hidden="1" outlineLevel="2" x14ac:dyDescent="0.25">
      <c r="A52" s="26"/>
      <c r="B52" s="11" t="str">
        <f>CONCATENATE("          ", "6111", " - ", "F.I.C.A.")</f>
        <v xml:space="preserve">          6111 - F.I.C.A.</v>
      </c>
      <c r="C52" s="11"/>
      <c r="D52" s="7">
        <v>449.24</v>
      </c>
      <c r="E52" s="2"/>
      <c r="F52" s="6">
        <f t="shared" si="12"/>
        <v>1.0469714107634459E-3</v>
      </c>
      <c r="G52" s="2"/>
      <c r="H52" s="7">
        <v>425.68281899999999</v>
      </c>
      <c r="I52" s="2"/>
      <c r="J52" s="6">
        <f t="shared" si="13"/>
        <v>4.1379852535189362E-3</v>
      </c>
      <c r="K52" s="2"/>
      <c r="L52" s="7">
        <f t="shared" si="14"/>
        <v>23.557181000000014</v>
      </c>
      <c r="M52" s="2"/>
      <c r="N52" s="6">
        <f t="shared" si="15"/>
        <v>5.5339750510344218E-2</v>
      </c>
      <c r="O52" s="11"/>
      <c r="P52" s="7">
        <v>4738.08</v>
      </c>
      <c r="Q52" s="2"/>
      <c r="R52" s="6">
        <f t="shared" si="16"/>
        <v>2.3460993014277993E-3</v>
      </c>
      <c r="S52" s="2"/>
      <c r="T52" s="7">
        <v>4577.7510052500002</v>
      </c>
      <c r="U52" s="2"/>
      <c r="V52" s="6">
        <f t="shared" si="17"/>
        <v>2.4953630521454585E-3</v>
      </c>
      <c r="W52" s="2"/>
      <c r="X52" s="7">
        <f t="shared" si="18"/>
        <v>160.32899474999977</v>
      </c>
      <c r="Y52" s="2"/>
      <c r="Z52" s="6">
        <f t="shared" si="19"/>
        <v>3.502352892634969E-2</v>
      </c>
    </row>
    <row r="53" spans="1:26" s="24" customFormat="1" hidden="1" outlineLevel="2" x14ac:dyDescent="0.25">
      <c r="A53" s="26"/>
      <c r="B53" s="11" t="str">
        <f>CONCATENATE("          ", "6112", " - ", "COMPENSATION INSURANCE")</f>
        <v xml:space="preserve">          6112 - COMPENSATION INSURANCE</v>
      </c>
      <c r="C53" s="11"/>
      <c r="D53" s="7">
        <v>184.54</v>
      </c>
      <c r="E53" s="2"/>
      <c r="F53" s="6">
        <f t="shared" si="12"/>
        <v>4.3007769598051444E-4</v>
      </c>
      <c r="G53" s="2"/>
      <c r="H53" s="7">
        <v>213.17179999999999</v>
      </c>
      <c r="I53" s="2"/>
      <c r="J53" s="6">
        <f t="shared" si="13"/>
        <v>2.0722042927132749E-3</v>
      </c>
      <c r="K53" s="2"/>
      <c r="L53" s="7">
        <f t="shared" si="14"/>
        <v>-28.631799999999998</v>
      </c>
      <c r="M53" s="2"/>
      <c r="N53" s="6">
        <f t="shared" si="15"/>
        <v>-0.13431326282369432</v>
      </c>
      <c r="O53" s="11"/>
      <c r="P53" s="7">
        <v>1358.75</v>
      </c>
      <c r="Q53" s="2"/>
      <c r="R53" s="6">
        <f t="shared" si="16"/>
        <v>6.727962435870696E-4</v>
      </c>
      <c r="S53" s="2"/>
      <c r="T53" s="7">
        <v>1893.6407784999999</v>
      </c>
      <c r="U53" s="2"/>
      <c r="V53" s="6">
        <f t="shared" si="17"/>
        <v>1.0322364032656255E-3</v>
      </c>
      <c r="W53" s="2"/>
      <c r="X53" s="7">
        <f t="shared" si="18"/>
        <v>-534.8907784999999</v>
      </c>
      <c r="Y53" s="2"/>
      <c r="Z53" s="6">
        <f t="shared" si="19"/>
        <v>-0.28246686730294235</v>
      </c>
    </row>
    <row r="54" spans="1:26" s="24" customFormat="1" hidden="1" outlineLevel="2" x14ac:dyDescent="0.25">
      <c r="A54" s="26"/>
      <c r="B54" s="11" t="str">
        <f>CONCATENATE("          ", "6113", " - ", "GROUP INSURANCE")</f>
        <v xml:space="preserve">          6113 - GROUP INSURANCE</v>
      </c>
      <c r="C54" s="11"/>
      <c r="D54" s="7">
        <v>1053.8499999999999</v>
      </c>
      <c r="E54" s="2"/>
      <c r="F54" s="6">
        <f t="shared" si="12"/>
        <v>2.4560386903059775E-3</v>
      </c>
      <c r="G54" s="2"/>
      <c r="H54" s="7">
        <v>946.34615384615404</v>
      </c>
      <c r="I54" s="2"/>
      <c r="J54" s="6">
        <f t="shared" si="13"/>
        <v>9.1992588250073299E-3</v>
      </c>
      <c r="K54" s="2"/>
      <c r="L54" s="7">
        <f t="shared" si="14"/>
        <v>107.50384615384587</v>
      </c>
      <c r="M54" s="2"/>
      <c r="N54" s="6">
        <f t="shared" si="15"/>
        <v>0.11359886201991433</v>
      </c>
      <c r="O54" s="11"/>
      <c r="P54" s="7">
        <v>9376.33</v>
      </c>
      <c r="Q54" s="2"/>
      <c r="R54" s="6">
        <f t="shared" si="16"/>
        <v>4.6427669568594281E-3</v>
      </c>
      <c r="S54" s="2"/>
      <c r="T54" s="7">
        <v>8977.4999999999909</v>
      </c>
      <c r="U54" s="2"/>
      <c r="V54" s="6">
        <f t="shared" si="17"/>
        <v>4.8936960037677729E-3</v>
      </c>
      <c r="W54" s="2"/>
      <c r="X54" s="7">
        <f t="shared" si="18"/>
        <v>398.83000000000902</v>
      </c>
      <c r="Y54" s="2"/>
      <c r="Z54" s="6">
        <f t="shared" si="19"/>
        <v>4.4425508214982951E-2</v>
      </c>
    </row>
    <row r="55" spans="1:26" s="24" customFormat="1" hidden="1" outlineLevel="2" x14ac:dyDescent="0.25">
      <c r="A55" s="26"/>
      <c r="B55" s="11" t="str">
        <f>CONCATENATE("          ", "6114", " - ", "STATE UNEMPLOYMENT INSURANCE")</f>
        <v xml:space="preserve">          6114 - STATE UNEMPLOYMENT INSURANCE</v>
      </c>
      <c r="C55" s="11"/>
      <c r="D55" s="7">
        <v>25.93</v>
      </c>
      <c r="E55" s="2"/>
      <c r="F55" s="6">
        <f t="shared" si="12"/>
        <v>6.0430880333666088E-5</v>
      </c>
      <c r="G55" s="2"/>
      <c r="H55" s="7">
        <v>29.95928</v>
      </c>
      <c r="I55" s="2"/>
      <c r="J55" s="6">
        <f t="shared" si="13"/>
        <v>2.9122871140835213E-4</v>
      </c>
      <c r="K55" s="2"/>
      <c r="L55" s="7">
        <f t="shared" si="14"/>
        <v>-4.02928</v>
      </c>
      <c r="M55" s="2"/>
      <c r="N55" s="6">
        <f t="shared" si="15"/>
        <v>-0.13449188365007436</v>
      </c>
      <c r="O55" s="11"/>
      <c r="P55" s="7">
        <v>205.66</v>
      </c>
      <c r="Q55" s="2"/>
      <c r="R55" s="6">
        <f t="shared" si="16"/>
        <v>1.0183424136604727E-4</v>
      </c>
      <c r="S55" s="2"/>
      <c r="T55" s="7">
        <v>266.13329859999999</v>
      </c>
      <c r="U55" s="2"/>
      <c r="V55" s="6">
        <f t="shared" si="17"/>
        <v>1.4507106208057441E-4</v>
      </c>
      <c r="W55" s="2"/>
      <c r="X55" s="7">
        <f t="shared" si="18"/>
        <v>-60.473298599999993</v>
      </c>
      <c r="Y55" s="2"/>
      <c r="Z55" s="6">
        <f t="shared" si="19"/>
        <v>-0.22722935806274938</v>
      </c>
    </row>
    <row r="56" spans="1:26" s="24" customFormat="1" hidden="1" outlineLevel="2" x14ac:dyDescent="0.25">
      <c r="A56" s="26"/>
      <c r="B56" s="11" t="str">
        <f>CONCATENATE("          ", "6115", " - ", "P.E.R.S.")</f>
        <v xml:space="preserve">          6115 - P.E.R.S.</v>
      </c>
      <c r="C56" s="11"/>
      <c r="D56" s="7">
        <v>176.42</v>
      </c>
      <c r="E56" s="2"/>
      <c r="F56" s="6">
        <f t="shared" si="12"/>
        <v>4.1115371802797419E-4</v>
      </c>
      <c r="G56" s="2"/>
      <c r="H56" s="7">
        <v>196.27780000000001</v>
      </c>
      <c r="I56" s="2"/>
      <c r="J56" s="6">
        <f t="shared" si="13"/>
        <v>1.9079807916634265E-3</v>
      </c>
      <c r="K56" s="2"/>
      <c r="L56" s="7">
        <f t="shared" si="14"/>
        <v>-19.857800000000026</v>
      </c>
      <c r="M56" s="2"/>
      <c r="N56" s="6">
        <f t="shared" si="15"/>
        <v>-0.10117191042491827</v>
      </c>
      <c r="O56" s="11"/>
      <c r="P56" s="7">
        <v>1764.2</v>
      </c>
      <c r="Q56" s="2"/>
      <c r="R56" s="6">
        <f t="shared" si="16"/>
        <v>8.7355814751522212E-4</v>
      </c>
      <c r="S56" s="2"/>
      <c r="T56" s="7">
        <v>1913.7085500000001</v>
      </c>
      <c r="U56" s="2"/>
      <c r="V56" s="6">
        <f t="shared" si="17"/>
        <v>1.0431754813156478E-3</v>
      </c>
      <c r="W56" s="2"/>
      <c r="X56" s="7">
        <f t="shared" si="18"/>
        <v>-149.50855000000001</v>
      </c>
      <c r="Y56" s="2"/>
      <c r="Z56" s="6">
        <f t="shared" si="19"/>
        <v>-7.8125036333249395E-2</v>
      </c>
    </row>
    <row r="57" spans="1:26" s="24" customFormat="1" hidden="1" outlineLevel="2" x14ac:dyDescent="0.25">
      <c r="A57" s="26"/>
      <c r="B57" s="11" t="str">
        <f>CONCATENATE("          ", "6116", " - ", "EDUCATIONAL BENEFITS")</f>
        <v xml:space="preserve">          6116 - EDUCATIONAL BENEFITS</v>
      </c>
      <c r="C57" s="11"/>
      <c r="D57" s="7"/>
      <c r="E57" s="2"/>
      <c r="F57" s="6">
        <f t="shared" si="12"/>
        <v>0</v>
      </c>
      <c r="G57" s="2"/>
      <c r="H57" s="7">
        <v>0</v>
      </c>
      <c r="I57" s="2"/>
      <c r="J57" s="6">
        <f t="shared" si="13"/>
        <v>0</v>
      </c>
      <c r="K57" s="2"/>
      <c r="L57" s="7">
        <f t="shared" si="14"/>
        <v>0</v>
      </c>
      <c r="M57" s="2"/>
      <c r="N57" s="6">
        <f t="shared" si="15"/>
        <v>0</v>
      </c>
      <c r="O57" s="11"/>
      <c r="P57" s="7"/>
      <c r="Q57" s="2"/>
      <c r="R57" s="6">
        <f t="shared" si="16"/>
        <v>0</v>
      </c>
      <c r="S57" s="2"/>
      <c r="T57" s="7">
        <v>0</v>
      </c>
      <c r="U57" s="2"/>
      <c r="V57" s="6">
        <f t="shared" si="17"/>
        <v>0</v>
      </c>
      <c r="W57" s="2"/>
      <c r="X57" s="7">
        <f t="shared" si="18"/>
        <v>0</v>
      </c>
      <c r="Y57" s="2"/>
      <c r="Z57" s="6">
        <f t="shared" si="19"/>
        <v>0</v>
      </c>
    </row>
    <row r="58" spans="1:26" s="24" customFormat="1" hidden="1" outlineLevel="2" x14ac:dyDescent="0.25">
      <c r="A58" s="26"/>
      <c r="B58" s="11" t="str">
        <f>CONCATENATE("          ", "6117", " - ", "RETIREMENT STAFF HOURLY")</f>
        <v xml:space="preserve">          6117 - RETIREMENT STAFF HOURLY</v>
      </c>
      <c r="C58" s="11"/>
      <c r="D58" s="7">
        <v>264</v>
      </c>
      <c r="E58" s="2"/>
      <c r="F58" s="6">
        <f t="shared" si="12"/>
        <v>6.1526233737322971E-4</v>
      </c>
      <c r="G58" s="2"/>
      <c r="H58" s="7"/>
      <c r="I58" s="2"/>
      <c r="J58" s="6">
        <f t="shared" si="13"/>
        <v>0</v>
      </c>
      <c r="K58" s="2"/>
      <c r="L58" s="7">
        <f t="shared" si="14"/>
        <v>264</v>
      </c>
      <c r="M58" s="2"/>
      <c r="N58" s="6">
        <f t="shared" si="15"/>
        <v>0</v>
      </c>
      <c r="O58" s="11"/>
      <c r="P58" s="7">
        <v>1721.04</v>
      </c>
      <c r="Q58" s="2"/>
      <c r="R58" s="6">
        <f t="shared" si="16"/>
        <v>8.5218711835370023E-4</v>
      </c>
      <c r="S58" s="2"/>
      <c r="T58" s="7"/>
      <c r="U58" s="2"/>
      <c r="V58" s="6">
        <f t="shared" si="17"/>
        <v>0</v>
      </c>
      <c r="W58" s="2"/>
      <c r="X58" s="7">
        <f t="shared" si="18"/>
        <v>1721.04</v>
      </c>
      <c r="Y58" s="2"/>
      <c r="Z58" s="6">
        <f t="shared" si="19"/>
        <v>0</v>
      </c>
    </row>
    <row r="59" spans="1:26" s="24" customFormat="1" hidden="1" outlineLevel="2" x14ac:dyDescent="0.25">
      <c r="A59" s="26"/>
      <c r="B59" s="11" t="str">
        <f>CONCATENATE("          ", "6118", " - ", "VACATION")</f>
        <v xml:space="preserve">          6118 - VACATION</v>
      </c>
      <c r="C59" s="11"/>
      <c r="D59" s="7">
        <v>267.04000000000002</v>
      </c>
      <c r="E59" s="2"/>
      <c r="F59" s="6">
        <f t="shared" si="12"/>
        <v>6.2234717640964881E-4</v>
      </c>
      <c r="G59" s="2"/>
      <c r="H59" s="7">
        <v>194.749</v>
      </c>
      <c r="I59" s="2"/>
      <c r="J59" s="6">
        <f t="shared" si="13"/>
        <v>1.8931196049459522E-3</v>
      </c>
      <c r="K59" s="2"/>
      <c r="L59" s="7">
        <f t="shared" si="14"/>
        <v>72.291000000000025</v>
      </c>
      <c r="M59" s="2"/>
      <c r="N59" s="6">
        <f t="shared" si="15"/>
        <v>0.37120087908025218</v>
      </c>
      <c r="O59" s="11"/>
      <c r="P59" s="7">
        <v>2490.66</v>
      </c>
      <c r="Q59" s="2"/>
      <c r="R59" s="6">
        <f t="shared" si="16"/>
        <v>1.2332707945189112E-3</v>
      </c>
      <c r="S59" s="2"/>
      <c r="T59" s="7">
        <v>1898.8027500000001</v>
      </c>
      <c r="U59" s="2"/>
      <c r="V59" s="6">
        <f t="shared" si="17"/>
        <v>1.0350502288630763E-3</v>
      </c>
      <c r="W59" s="2"/>
      <c r="X59" s="7">
        <f t="shared" si="18"/>
        <v>591.85724999999979</v>
      </c>
      <c r="Y59" s="2"/>
      <c r="Z59" s="6">
        <f t="shared" si="19"/>
        <v>0.31170022794626762</v>
      </c>
    </row>
    <row r="60" spans="1:26" s="24" customFormat="1" hidden="1" outlineLevel="2" x14ac:dyDescent="0.25">
      <c r="A60" s="26"/>
      <c r="B60" s="11" t="str">
        <f>CONCATENATE("          ", "6119", " - ", "SICK LEAVE")</f>
        <v xml:space="preserve">          6119 - SICK LEAVE</v>
      </c>
      <c r="C60" s="11"/>
      <c r="D60" s="7">
        <v>267.63</v>
      </c>
      <c r="E60" s="2"/>
      <c r="F60" s="6">
        <f t="shared" si="12"/>
        <v>6.2372219451211166E-4</v>
      </c>
      <c r="G60" s="2"/>
      <c r="H60" s="7">
        <v>290.06099999999998</v>
      </c>
      <c r="I60" s="2"/>
      <c r="J60" s="6">
        <f t="shared" si="13"/>
        <v>2.8196302200793216E-3</v>
      </c>
      <c r="K60" s="2"/>
      <c r="L60" s="7">
        <f t="shared" si="14"/>
        <v>-22.430999999999983</v>
      </c>
      <c r="M60" s="2"/>
      <c r="N60" s="6">
        <f t="shared" si="15"/>
        <v>-7.7332009473869243E-2</v>
      </c>
      <c r="O60" s="11"/>
      <c r="P60" s="7">
        <v>2487.1799999999998</v>
      </c>
      <c r="Q60" s="2"/>
      <c r="R60" s="6">
        <f t="shared" si="16"/>
        <v>1.2315476438821619E-3</v>
      </c>
      <c r="S60" s="2"/>
      <c r="T60" s="7">
        <v>2528.4445799999999</v>
      </c>
      <c r="U60" s="2"/>
      <c r="V60" s="6">
        <f t="shared" si="17"/>
        <v>1.3782722513945194E-3</v>
      </c>
      <c r="W60" s="2"/>
      <c r="X60" s="7">
        <f t="shared" si="18"/>
        <v>-41.264580000000024</v>
      </c>
      <c r="Y60" s="2"/>
      <c r="Z60" s="6">
        <f t="shared" si="19"/>
        <v>-1.6320144141739514E-2</v>
      </c>
    </row>
    <row r="61" spans="1:26" s="24" customFormat="1" hidden="1" outlineLevel="2" x14ac:dyDescent="0.25">
      <c r="A61" s="26"/>
      <c r="B61" s="11" t="str">
        <f>CONCATENATE("          ", "6156", " - ", "EMPLOYEE MEALS")</f>
        <v xml:space="preserve">          6156 - EMPLOYEE MEALS</v>
      </c>
      <c r="C61" s="11"/>
      <c r="D61" s="7">
        <v>235.74</v>
      </c>
      <c r="E61" s="2"/>
      <c r="F61" s="6">
        <f t="shared" si="12"/>
        <v>5.4940130080441353E-4</v>
      </c>
      <c r="G61" s="2"/>
      <c r="H61" s="7">
        <v>175</v>
      </c>
      <c r="I61" s="2"/>
      <c r="J61" s="6">
        <f t="shared" si="13"/>
        <v>1.7011431682090366E-3</v>
      </c>
      <c r="K61" s="2"/>
      <c r="L61" s="7">
        <f t="shared" si="14"/>
        <v>60.740000000000009</v>
      </c>
      <c r="M61" s="2"/>
      <c r="N61" s="6">
        <f t="shared" si="15"/>
        <v>0.34708571428571433</v>
      </c>
      <c r="O61" s="11"/>
      <c r="P61" s="7">
        <v>2080.42</v>
      </c>
      <c r="Q61" s="2"/>
      <c r="R61" s="6">
        <f t="shared" si="16"/>
        <v>1.0301370826740837E-3</v>
      </c>
      <c r="S61" s="2"/>
      <c r="T61" s="7">
        <v>1575</v>
      </c>
      <c r="U61" s="2"/>
      <c r="V61" s="6">
        <f t="shared" si="17"/>
        <v>8.5854315855575047E-4</v>
      </c>
      <c r="W61" s="2"/>
      <c r="X61" s="7">
        <f t="shared" si="18"/>
        <v>505.42000000000007</v>
      </c>
      <c r="Y61" s="2"/>
      <c r="Z61" s="6">
        <f t="shared" si="19"/>
        <v>0.32090158730158735</v>
      </c>
    </row>
    <row r="62" spans="1:26" s="25" customFormat="1" outlineLevel="1" collapsed="1" x14ac:dyDescent="0.25">
      <c r="A62" s="27"/>
      <c r="B62" s="13" t="str">
        <f>CONCATENATE("     ","*Payroll                                          ")</f>
        <v xml:space="preserve">     *Payroll                                          </v>
      </c>
      <c r="C62" s="13"/>
      <c r="D62" s="1">
        <f>SUM(OSRRefD22_1x_0)</f>
        <v>8405.5</v>
      </c>
      <c r="E62" s="1"/>
      <c r="F62" s="5">
        <f t="shared" ref="F62:F72" si="20">IF(D$12=0,0,D62/D$12)</f>
        <v>1.9589346881782887E-2</v>
      </c>
      <c r="G62" s="1"/>
      <c r="H62" s="1">
        <f>SUM(OSRRefH22_1x_0)</f>
        <v>11037.990000000002</v>
      </c>
      <c r="I62" s="1"/>
      <c r="J62" s="5">
        <f t="shared" ref="J62:J72" si="21">IF(H$12=0,0,H62/H$12)</f>
        <v>0.10729829302434095</v>
      </c>
      <c r="K62" s="1"/>
      <c r="L62" s="1">
        <f t="shared" ref="L62:L72" si="22">+D62-H62</f>
        <v>-2632.4900000000016</v>
      </c>
      <c r="M62" s="1"/>
      <c r="N62" s="5">
        <f t="shared" ref="N62:N72" si="23">IF(H62=0,0,L62/H62)</f>
        <v>-0.23849360254901492</v>
      </c>
      <c r="O62" s="13"/>
      <c r="P62" s="1">
        <f>SUM(OSRRefP22_1x_0)</f>
        <v>73810.960000000006</v>
      </c>
      <c r="Q62" s="1"/>
      <c r="R62" s="5">
        <f t="shared" ref="R62:R72" si="24">IF(P$12=0,0,P62/P$12)</f>
        <v>3.6548104230767584E-2</v>
      </c>
      <c r="S62" s="1"/>
      <c r="T62" s="1">
        <f>SUM(OSRRefT22_1x_0)</f>
        <v>97931.713669999997</v>
      </c>
      <c r="U62" s="1"/>
      <c r="V62" s="5">
        <f t="shared" ref="V62:V72" si="25">IF(T$12=0,0,T62/T$12)</f>
        <v>5.3383239858424872E-2</v>
      </c>
      <c r="W62" s="1"/>
      <c r="X62" s="1">
        <f t="shared" ref="X62:X72" si="26">+P62-T62</f>
        <v>-24120.753669999991</v>
      </c>
      <c r="Y62" s="1"/>
      <c r="Z62" s="5">
        <f t="shared" ref="Z62:Z72" si="27">IF(T62=0,0,X62/T62)</f>
        <v>-0.24630176238189372</v>
      </c>
    </row>
    <row r="63" spans="1:26" s="24" customFormat="1" hidden="1" outlineLevel="2" x14ac:dyDescent="0.25">
      <c r="A63" s="26"/>
      <c r="B63" s="11" t="str">
        <f>CONCATENATE("          ", "6001", " - ", "ADMINISTRATIVE SALARIES")</f>
        <v xml:space="preserve">          6001 - ADMINISTRATIVE SALARIES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7">
        <v>2357.3000000000002</v>
      </c>
      <c r="E64" s="2"/>
      <c r="F64" s="6">
        <f t="shared" si="20"/>
        <v>5.4937799541284645E-3</v>
      </c>
      <c r="G64" s="2"/>
      <c r="H64" s="7">
        <v>2168.1849999999999</v>
      </c>
      <c r="I64" s="2"/>
      <c r="J64" s="6">
        <f t="shared" si="21"/>
        <v>2.1076532000933196E-2</v>
      </c>
      <c r="K64" s="2"/>
      <c r="L64" s="7">
        <f t="shared" si="22"/>
        <v>189.11500000000024</v>
      </c>
      <c r="M64" s="2"/>
      <c r="N64" s="6">
        <f t="shared" si="23"/>
        <v>8.7222723153236578E-2</v>
      </c>
      <c r="O64" s="11"/>
      <c r="P64" s="7">
        <v>20880.25</v>
      </c>
      <c r="Q64" s="2"/>
      <c r="R64" s="6">
        <f t="shared" si="24"/>
        <v>1.0339027610052554E-2</v>
      </c>
      <c r="S64" s="2"/>
      <c r="T64" s="7">
        <v>21139.803749999999</v>
      </c>
      <c r="U64" s="2"/>
      <c r="V64" s="6">
        <f t="shared" si="25"/>
        <v>1.1523450084300762E-2</v>
      </c>
      <c r="W64" s="2"/>
      <c r="X64" s="7">
        <f t="shared" si="26"/>
        <v>-259.55374999999913</v>
      </c>
      <c r="Y64" s="2"/>
      <c r="Z64" s="6">
        <f t="shared" si="27"/>
        <v>-1.2277964027929973E-2</v>
      </c>
    </row>
    <row r="65" spans="1:26" s="24" customFormat="1" hidden="1" outlineLevel="2" x14ac:dyDescent="0.25">
      <c r="A65" s="26"/>
      <c r="B65" s="11" t="str">
        <f>CONCATENATE("          ", "6003", " - ", "STAFF HOURLY-9 MONTH")</f>
        <v xml:space="preserve">          6003 - STAFF HOURLY-9 MONTH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>
        <v>3520</v>
      </c>
      <c r="E66" s="2"/>
      <c r="F66" s="6">
        <f t="shared" si="20"/>
        <v>8.2034978316430623E-3</v>
      </c>
      <c r="G66" s="2"/>
      <c r="H66" s="7">
        <v>3088.12</v>
      </c>
      <c r="I66" s="2"/>
      <c r="J66" s="6">
        <f t="shared" si="21"/>
        <v>3.001905280348394E-2</v>
      </c>
      <c r="K66" s="2"/>
      <c r="L66" s="7">
        <f t="shared" si="22"/>
        <v>431.88000000000011</v>
      </c>
      <c r="M66" s="2"/>
      <c r="N66" s="6">
        <f t="shared" si="23"/>
        <v>0.13985207828711324</v>
      </c>
      <c r="O66" s="11"/>
      <c r="P66" s="7">
        <v>31720.16</v>
      </c>
      <c r="Q66" s="2"/>
      <c r="R66" s="6">
        <f t="shared" si="24"/>
        <v>1.5706498247639977E-2</v>
      </c>
      <c r="S66" s="2"/>
      <c r="T66" s="7">
        <v>30109.17</v>
      </c>
      <c r="U66" s="2"/>
      <c r="V66" s="6">
        <f t="shared" si="25"/>
        <v>1.6412712325899713E-2</v>
      </c>
      <c r="W66" s="2"/>
      <c r="X66" s="7">
        <f t="shared" si="26"/>
        <v>1610.9900000000016</v>
      </c>
      <c r="Y66" s="2"/>
      <c r="Z66" s="6">
        <f t="shared" si="27"/>
        <v>5.3504962109550074E-2</v>
      </c>
    </row>
    <row r="67" spans="1:26" s="24" customFormat="1" hidden="1" outlineLevel="2" x14ac:dyDescent="0.25">
      <c r="A67" s="26"/>
      <c r="B67" s="11" t="str">
        <f>CONCATENATE("          ", "6005", " - ", "TEMPORARY WAGES-HOURLY")</f>
        <v xml:space="preserve">          6005 - TEMPORARY WAGES-HOURLY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6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6"/>
      <c r="B69" s="11" t="str">
        <f>CONCATENATE("          ", "6007", " - ", "STUDENT HOURLY")</f>
        <v xml:space="preserve">          6007 - STUDENT HOURLY</v>
      </c>
      <c r="C69" s="11"/>
      <c r="D69" s="7">
        <v>2528.1999999999998</v>
      </c>
      <c r="E69" s="2"/>
      <c r="F69" s="6">
        <f t="shared" si="20"/>
        <v>5.892069096011361E-3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2528.1999999999998</v>
      </c>
      <c r="M69" s="2"/>
      <c r="N69" s="6">
        <f t="shared" si="23"/>
        <v>0</v>
      </c>
      <c r="O69" s="11"/>
      <c r="P69" s="7">
        <v>21210.55</v>
      </c>
      <c r="Q69" s="2"/>
      <c r="R69" s="6">
        <f t="shared" si="24"/>
        <v>1.0502578373075045E-2</v>
      </c>
      <c r="S69" s="2"/>
      <c r="T69" s="7">
        <v>5416.48</v>
      </c>
      <c r="U69" s="2"/>
      <c r="V69" s="6">
        <f t="shared" si="25"/>
        <v>2.9525599031454295E-3</v>
      </c>
      <c r="W69" s="2"/>
      <c r="X69" s="7">
        <f t="shared" si="26"/>
        <v>15794.07</v>
      </c>
      <c r="Y69" s="2"/>
      <c r="Z69" s="6">
        <f t="shared" si="27"/>
        <v>2.9159287950846307</v>
      </c>
    </row>
    <row r="70" spans="1:26" s="24" customFormat="1" hidden="1" outlineLevel="2" x14ac:dyDescent="0.25">
      <c r="A70" s="26"/>
      <c r="B70" s="11" t="str">
        <f>CONCATENATE("          ", "6008", " - ", "STUDENT HOURLY-FICA EXEMPT")</f>
        <v xml:space="preserve">          6008 - STUDENT HOURLY-FICA EXEMPT</v>
      </c>
      <c r="C70" s="11"/>
      <c r="D70" s="7"/>
      <c r="E70" s="2"/>
      <c r="F70" s="6">
        <f t="shared" si="20"/>
        <v>0</v>
      </c>
      <c r="G70" s="2"/>
      <c r="H70" s="7">
        <v>5781.6850000000004</v>
      </c>
      <c r="I70" s="2"/>
      <c r="J70" s="6">
        <f t="shared" si="21"/>
        <v>5.6202708219923792E-2</v>
      </c>
      <c r="K70" s="2"/>
      <c r="L70" s="7">
        <f t="shared" si="22"/>
        <v>-5781.6850000000004</v>
      </c>
      <c r="M70" s="2"/>
      <c r="N70" s="6">
        <f t="shared" si="23"/>
        <v>-1</v>
      </c>
      <c r="O70" s="11"/>
      <c r="P70" s="7"/>
      <c r="Q70" s="2"/>
      <c r="R70" s="6">
        <f t="shared" si="24"/>
        <v>0</v>
      </c>
      <c r="S70" s="2"/>
      <c r="T70" s="7">
        <v>41266.259919999997</v>
      </c>
      <c r="U70" s="2"/>
      <c r="V70" s="6">
        <f t="shared" si="25"/>
        <v>2.2494517545078967E-2</v>
      </c>
      <c r="W70" s="2"/>
      <c r="X70" s="7">
        <f t="shared" si="26"/>
        <v>-41266.259919999997</v>
      </c>
      <c r="Y70" s="2"/>
      <c r="Z70" s="6">
        <f t="shared" si="27"/>
        <v>-1</v>
      </c>
    </row>
    <row r="71" spans="1:26" s="24" customFormat="1" hidden="1" outlineLevel="2" x14ac:dyDescent="0.25">
      <c r="A71" s="26"/>
      <c r="B71" s="11" t="str">
        <f>CONCATENATE("          ", "6009", " - ", "TEMPORARY-SEASONAL")</f>
        <v xml:space="preserve">          6009 - TEMPORARY-SEASONAL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4" customFormat="1" hidden="1" outlineLevel="2" x14ac:dyDescent="0.25">
      <c r="A72" s="26"/>
      <c r="B72" s="11" t="str">
        <f>CONCATENATE("          ", "6010", " - ", "GRATUITY")</f>
        <v xml:space="preserve">          6010 - GRATUITY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3" si="28">IF(D$12=0,0,D73/D$12)</f>
        <v>0</v>
      </c>
      <c r="G73" s="1"/>
      <c r="H73" s="1">
        <f>SUM(OSRRefH22_2x_0)</f>
        <v>200</v>
      </c>
      <c r="I73" s="1"/>
      <c r="J73" s="5">
        <f t="shared" ref="J73:J83" si="29">IF(H$12=0,0,H73/H$12)</f>
        <v>1.9441636208103275E-3</v>
      </c>
      <c r="K73" s="1"/>
      <c r="L73" s="1">
        <f t="shared" ref="L73:L83" si="30">+D73-H73</f>
        <v>-200</v>
      </c>
      <c r="M73" s="1"/>
      <c r="N73" s="5">
        <f t="shared" ref="N73:N83" si="31">IF(H73=0,0,L73/H73)</f>
        <v>-1</v>
      </c>
      <c r="O73" s="13"/>
      <c r="P73" s="1">
        <f>SUM(OSRRefP22_2x_0)</f>
        <v>598.92999999999995</v>
      </c>
      <c r="Q73" s="1"/>
      <c r="R73" s="5">
        <f t="shared" ref="R73:R83" si="32">IF(P$12=0,0,P73/P$12)</f>
        <v>2.965651180655776E-4</v>
      </c>
      <c r="S73" s="1"/>
      <c r="T73" s="1">
        <f>SUM(OSRRefT22_2x_0)</f>
        <v>1800</v>
      </c>
      <c r="U73" s="1"/>
      <c r="V73" s="5">
        <f t="shared" ref="V73:V83" si="33">IF(T$12=0,0,T73/T$12)</f>
        <v>9.8119218120657197E-4</v>
      </c>
      <c r="W73" s="1"/>
      <c r="X73" s="1">
        <f t="shared" ref="X73:X83" si="34">+P73-T73</f>
        <v>-1201.0700000000002</v>
      </c>
      <c r="Y73" s="1"/>
      <c r="Z73" s="5">
        <f t="shared" ref="Z73:Z83" si="35">IF(T73=0,0,X73/T73)</f>
        <v>-0.66726111111111119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7"/>
      <c r="E74" s="2"/>
      <c r="F74" s="6">
        <f t="shared" si="28"/>
        <v>0</v>
      </c>
      <c r="G74" s="2"/>
      <c r="H74" s="7">
        <v>200</v>
      </c>
      <c r="I74" s="2"/>
      <c r="J74" s="6">
        <f t="shared" si="29"/>
        <v>1.9441636208103275E-3</v>
      </c>
      <c r="K74" s="2"/>
      <c r="L74" s="7">
        <f t="shared" si="30"/>
        <v>-200</v>
      </c>
      <c r="M74" s="2"/>
      <c r="N74" s="6">
        <f t="shared" si="31"/>
        <v>-1</v>
      </c>
      <c r="O74" s="11"/>
      <c r="P74" s="7">
        <v>598.92999999999995</v>
      </c>
      <c r="Q74" s="2"/>
      <c r="R74" s="6">
        <f t="shared" si="32"/>
        <v>2.965651180655776E-4</v>
      </c>
      <c r="S74" s="2"/>
      <c r="T74" s="7">
        <v>1800</v>
      </c>
      <c r="U74" s="2"/>
      <c r="V74" s="6">
        <f t="shared" si="33"/>
        <v>9.8119218120657197E-4</v>
      </c>
      <c r="W74" s="2"/>
      <c r="X74" s="7">
        <f t="shared" si="34"/>
        <v>-1201.0700000000002</v>
      </c>
      <c r="Y74" s="2"/>
      <c r="Z74" s="6">
        <f t="shared" si="35"/>
        <v>-0.66726111111111119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28"/>
        <v>6.5357640110965353E-4</v>
      </c>
      <c r="G75" s="1"/>
      <c r="H75" s="1">
        <f>SUM(OSRRefH22_3x_0)</f>
        <v>300</v>
      </c>
      <c r="I75" s="1"/>
      <c r="J75" s="5">
        <f t="shared" si="29"/>
        <v>2.9162454312154913E-3</v>
      </c>
      <c r="K75" s="1"/>
      <c r="L75" s="1">
        <f t="shared" si="30"/>
        <v>-19.560000000000002</v>
      </c>
      <c r="M75" s="1"/>
      <c r="N75" s="5">
        <f t="shared" si="31"/>
        <v>-6.5200000000000008E-2</v>
      </c>
      <c r="O75" s="13"/>
      <c r="P75" s="1">
        <f>SUM(OSRRefP22_3x_0)</f>
        <v>2523.96</v>
      </c>
      <c r="Q75" s="1"/>
      <c r="R75" s="5">
        <f t="shared" si="32"/>
        <v>1.2497595635429771E-3</v>
      </c>
      <c r="S75" s="1"/>
      <c r="T75" s="1">
        <f>SUM(OSRRefT22_3x_0)</f>
        <v>2700</v>
      </c>
      <c r="U75" s="1"/>
      <c r="V75" s="5">
        <f t="shared" si="33"/>
        <v>1.471788271809858E-3</v>
      </c>
      <c r="W75" s="1"/>
      <c r="X75" s="1">
        <f t="shared" si="34"/>
        <v>-176.03999999999996</v>
      </c>
      <c r="Y75" s="1"/>
      <c r="Z75" s="5">
        <f t="shared" si="35"/>
        <v>-6.519999999999998E-2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28"/>
        <v>6.5357640110965353E-4</v>
      </c>
      <c r="G76" s="2"/>
      <c r="H76" s="7">
        <v>300</v>
      </c>
      <c r="I76" s="2"/>
      <c r="J76" s="6">
        <f t="shared" si="29"/>
        <v>2.9162454312154913E-3</v>
      </c>
      <c r="K76" s="2"/>
      <c r="L76" s="7">
        <f t="shared" si="30"/>
        <v>-19.560000000000002</v>
      </c>
      <c r="M76" s="2"/>
      <c r="N76" s="6">
        <f t="shared" si="31"/>
        <v>-6.5200000000000008E-2</v>
      </c>
      <c r="O76" s="11"/>
      <c r="P76" s="7">
        <v>2523.96</v>
      </c>
      <c r="Q76" s="2"/>
      <c r="R76" s="6">
        <f t="shared" si="32"/>
        <v>1.2497595635429771E-3</v>
      </c>
      <c r="S76" s="2"/>
      <c r="T76" s="7">
        <v>2700</v>
      </c>
      <c r="U76" s="2"/>
      <c r="V76" s="6">
        <f t="shared" si="33"/>
        <v>1.471788271809858E-3</v>
      </c>
      <c r="W76" s="2"/>
      <c r="X76" s="7">
        <f t="shared" si="34"/>
        <v>-176.03999999999996</v>
      </c>
      <c r="Y76" s="2"/>
      <c r="Z76" s="6">
        <f t="shared" si="35"/>
        <v>-6.519999999999998E-2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28"/>
        <v>0</v>
      </c>
      <c r="G77" s="1"/>
      <c r="H77" s="1">
        <f>SUM(OSRRefH22_4x_0)</f>
        <v>1636</v>
      </c>
      <c r="I77" s="1"/>
      <c r="J77" s="5">
        <f t="shared" si="29"/>
        <v>1.590325841822848E-2</v>
      </c>
      <c r="K77" s="1"/>
      <c r="L77" s="1">
        <f t="shared" si="30"/>
        <v>-1636</v>
      </c>
      <c r="M77" s="1"/>
      <c r="N77" s="5">
        <f t="shared" si="31"/>
        <v>-1</v>
      </c>
      <c r="O77" s="13"/>
      <c r="P77" s="1">
        <f>SUM(OSRRefP22_4x_0)</f>
        <v>0</v>
      </c>
      <c r="Q77" s="1"/>
      <c r="R77" s="5">
        <f t="shared" si="32"/>
        <v>0</v>
      </c>
      <c r="S77" s="1"/>
      <c r="T77" s="1">
        <f>SUM(OSRRefT22_4x_0)</f>
        <v>29178</v>
      </c>
      <c r="U77" s="1"/>
      <c r="V77" s="5">
        <f t="shared" si="33"/>
        <v>1.5905125257358533E-2</v>
      </c>
      <c r="W77" s="1"/>
      <c r="X77" s="1">
        <f t="shared" si="34"/>
        <v>-29178</v>
      </c>
      <c r="Y77" s="1"/>
      <c r="Z77" s="5">
        <f t="shared" si="35"/>
        <v>-1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7">
        <v>0</v>
      </c>
      <c r="E78" s="2"/>
      <c r="F78" s="6">
        <f t="shared" si="28"/>
        <v>0</v>
      </c>
      <c r="G78" s="2"/>
      <c r="H78" s="7">
        <v>1636</v>
      </c>
      <c r="I78" s="2"/>
      <c r="J78" s="6">
        <f t="shared" si="29"/>
        <v>1.590325841822848E-2</v>
      </c>
      <c r="K78" s="2"/>
      <c r="L78" s="7">
        <f t="shared" si="30"/>
        <v>-1636</v>
      </c>
      <c r="M78" s="2"/>
      <c r="N78" s="6">
        <f t="shared" si="31"/>
        <v>-1</v>
      </c>
      <c r="O78" s="11"/>
      <c r="P78" s="7">
        <v>0</v>
      </c>
      <c r="Q78" s="2"/>
      <c r="R78" s="6">
        <f t="shared" si="32"/>
        <v>0</v>
      </c>
      <c r="S78" s="2"/>
      <c r="T78" s="7">
        <v>29178</v>
      </c>
      <c r="U78" s="2"/>
      <c r="V78" s="6">
        <f t="shared" si="33"/>
        <v>1.5905125257358533E-2</v>
      </c>
      <c r="W78" s="2"/>
      <c r="X78" s="7">
        <f t="shared" si="34"/>
        <v>-29178</v>
      </c>
      <c r="Y78" s="2"/>
      <c r="Z78" s="6">
        <f t="shared" si="35"/>
        <v>-1</v>
      </c>
    </row>
    <row r="79" spans="1:26" s="25" customFormat="1" outlineLevel="1" collapsed="1" x14ac:dyDescent="0.25">
      <c r="A79" s="27"/>
      <c r="B79" s="13" t="str">
        <f>CONCATENATE("     ","Employees' Appreciation                           ")</f>
        <v xml:space="preserve">     Employees' Appreciation                           </v>
      </c>
      <c r="C79" s="13"/>
      <c r="D79" s="1">
        <f>SUM(OSRRefD22_5x_0)</f>
        <v>0</v>
      </c>
      <c r="E79" s="1"/>
      <c r="F79" s="5">
        <f t="shared" si="28"/>
        <v>0</v>
      </c>
      <c r="G79" s="1"/>
      <c r="H79" s="1">
        <f>SUM(OSRRefH22_5x_0)</f>
        <v>20</v>
      </c>
      <c r="I79" s="1"/>
      <c r="J79" s="5">
        <f t="shared" si="29"/>
        <v>1.9441636208103274E-4</v>
      </c>
      <c r="K79" s="1"/>
      <c r="L79" s="1">
        <f t="shared" si="30"/>
        <v>-20</v>
      </c>
      <c r="M79" s="1"/>
      <c r="N79" s="5">
        <f t="shared" si="31"/>
        <v>-1</v>
      </c>
      <c r="O79" s="13"/>
      <c r="P79" s="1">
        <f>SUM(OSRRefP22_5x_0)</f>
        <v>0</v>
      </c>
      <c r="Q79" s="1"/>
      <c r="R79" s="5">
        <f t="shared" si="32"/>
        <v>0</v>
      </c>
      <c r="S79" s="1"/>
      <c r="T79" s="1">
        <f>SUM(OSRRefT22_5x_0)</f>
        <v>180</v>
      </c>
      <c r="U79" s="1"/>
      <c r="V79" s="5">
        <f t="shared" si="33"/>
        <v>9.8119218120657197E-5</v>
      </c>
      <c r="W79" s="1"/>
      <c r="X79" s="1">
        <f t="shared" si="34"/>
        <v>-180</v>
      </c>
      <c r="Y79" s="1"/>
      <c r="Z79" s="5">
        <f t="shared" si="35"/>
        <v>-1</v>
      </c>
    </row>
    <row r="80" spans="1:26" s="24" customFormat="1" hidden="1" outlineLevel="2" x14ac:dyDescent="0.25">
      <c r="A80" s="26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28"/>
        <v>0</v>
      </c>
      <c r="G80" s="2"/>
      <c r="H80" s="7">
        <v>20</v>
      </c>
      <c r="I80" s="2"/>
      <c r="J80" s="6">
        <f t="shared" si="29"/>
        <v>1.9441636208103274E-4</v>
      </c>
      <c r="K80" s="2"/>
      <c r="L80" s="7">
        <f t="shared" si="30"/>
        <v>-20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180</v>
      </c>
      <c r="U80" s="2"/>
      <c r="V80" s="6">
        <f t="shared" si="33"/>
        <v>9.8119218120657197E-5</v>
      </c>
      <c r="W80" s="2"/>
      <c r="X80" s="7">
        <f t="shared" si="34"/>
        <v>-180</v>
      </c>
      <c r="Y80" s="2"/>
      <c r="Z80" s="6">
        <f t="shared" si="35"/>
        <v>-1</v>
      </c>
    </row>
    <row r="81" spans="1:26" s="25" customFormat="1" outlineLevel="1" collapsed="1" x14ac:dyDescent="0.25">
      <c r="A81" s="27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SUM(OSRRefD22_6x_0)</f>
        <v>531.96</v>
      </c>
      <c r="E81" s="1"/>
      <c r="F81" s="5">
        <f t="shared" si="28"/>
        <v>1.2397536098070581E-3</v>
      </c>
      <c r="G81" s="1"/>
      <c r="H81" s="1">
        <f>SUM(OSRRefH22_6x_0)</f>
        <v>15</v>
      </c>
      <c r="I81" s="1"/>
      <c r="J81" s="5">
        <f t="shared" si="29"/>
        <v>1.4581227156077457E-4</v>
      </c>
      <c r="K81" s="1"/>
      <c r="L81" s="1">
        <f t="shared" si="30"/>
        <v>516.96</v>
      </c>
      <c r="M81" s="1"/>
      <c r="N81" s="5">
        <f t="shared" si="31"/>
        <v>34.464000000000006</v>
      </c>
      <c r="O81" s="13"/>
      <c r="P81" s="1">
        <f>SUM(OSRRefP22_6x_0)</f>
        <v>1614.29</v>
      </c>
      <c r="Q81" s="1"/>
      <c r="R81" s="5">
        <f t="shared" si="32"/>
        <v>7.9932897741318899E-4</v>
      </c>
      <c r="S81" s="1"/>
      <c r="T81" s="1">
        <f>SUM(OSRRefT22_6x_0)</f>
        <v>135</v>
      </c>
      <c r="U81" s="1"/>
      <c r="V81" s="5">
        <f t="shared" si="33"/>
        <v>7.3589413590492898E-5</v>
      </c>
      <c r="W81" s="1"/>
      <c r="X81" s="1">
        <f t="shared" si="34"/>
        <v>1479.29</v>
      </c>
      <c r="Y81" s="1"/>
      <c r="Z81" s="5">
        <f t="shared" si="35"/>
        <v>10.957703703703704</v>
      </c>
    </row>
    <row r="82" spans="1:26" s="24" customFormat="1" hidden="1" outlineLevel="2" x14ac:dyDescent="0.25">
      <c r="A82" s="26"/>
      <c r="B82" s="11" t="str">
        <f>CONCATENATE("          ", "6305", " - ", "FREIGHT OUT")</f>
        <v xml:space="preserve">          6305 - FREIGHT OUT</v>
      </c>
      <c r="C82" s="11"/>
      <c r="D82" s="7">
        <v>531.96</v>
      </c>
      <c r="E82" s="2"/>
      <c r="F82" s="6">
        <f t="shared" si="28"/>
        <v>1.2397536098070581E-3</v>
      </c>
      <c r="G82" s="2"/>
      <c r="H82" s="7">
        <v>15</v>
      </c>
      <c r="I82" s="2"/>
      <c r="J82" s="6">
        <f t="shared" si="29"/>
        <v>1.4581227156077457E-4</v>
      </c>
      <c r="K82" s="2"/>
      <c r="L82" s="7">
        <f t="shared" si="30"/>
        <v>516.96</v>
      </c>
      <c r="M82" s="2"/>
      <c r="N82" s="6">
        <f t="shared" si="31"/>
        <v>34.464000000000006</v>
      </c>
      <c r="O82" s="11"/>
      <c r="P82" s="7">
        <v>1601.69</v>
      </c>
      <c r="Q82" s="2"/>
      <c r="R82" s="6">
        <f t="shared" si="32"/>
        <v>7.930899837284073E-4</v>
      </c>
      <c r="S82" s="2"/>
      <c r="T82" s="7">
        <v>135</v>
      </c>
      <c r="U82" s="2"/>
      <c r="V82" s="6">
        <f t="shared" si="33"/>
        <v>7.3589413590492898E-5</v>
      </c>
      <c r="W82" s="2"/>
      <c r="X82" s="7">
        <f t="shared" si="34"/>
        <v>1466.69</v>
      </c>
      <c r="Y82" s="2"/>
      <c r="Z82" s="6">
        <f t="shared" si="35"/>
        <v>10.86437037037037</v>
      </c>
    </row>
    <row r="83" spans="1:26" s="24" customFormat="1" hidden="1" outlineLevel="2" x14ac:dyDescent="0.25">
      <c r="A83" s="26"/>
      <c r="B83" s="11" t="str">
        <f>CONCATENATE("          ", "6307", " - ", "POSTAGE")</f>
        <v xml:space="preserve">          6307 - POSTAGE</v>
      </c>
      <c r="C83" s="11"/>
      <c r="D83" s="7"/>
      <c r="E83" s="2"/>
      <c r="F83" s="6">
        <f t="shared" si="28"/>
        <v>0</v>
      </c>
      <c r="G83" s="2"/>
      <c r="H83" s="7"/>
      <c r="I83" s="2"/>
      <c r="J83" s="6">
        <f t="shared" si="29"/>
        <v>0</v>
      </c>
      <c r="K83" s="2"/>
      <c r="L83" s="7">
        <f t="shared" si="30"/>
        <v>0</v>
      </c>
      <c r="M83" s="2"/>
      <c r="N83" s="6">
        <f t="shared" si="31"/>
        <v>0</v>
      </c>
      <c r="O83" s="11"/>
      <c r="P83" s="7">
        <v>12.6</v>
      </c>
      <c r="Q83" s="2"/>
      <c r="R83" s="6">
        <f t="shared" si="32"/>
        <v>6.2389936847816567E-6</v>
      </c>
      <c r="S83" s="2"/>
      <c r="T83" s="7"/>
      <c r="U83" s="2"/>
      <c r="V83" s="6">
        <f t="shared" si="33"/>
        <v>0</v>
      </c>
      <c r="W83" s="2"/>
      <c r="X83" s="7">
        <f t="shared" si="34"/>
        <v>12.6</v>
      </c>
      <c r="Y83" s="2"/>
      <c r="Z83" s="6">
        <f t="shared" si="35"/>
        <v>0</v>
      </c>
    </row>
    <row r="84" spans="1:26" s="25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SUM(OSRRefD22_7x_0)</f>
        <v>0</v>
      </c>
      <c r="E84" s="1"/>
      <c r="F84" s="5">
        <f t="shared" ref="F84:F90" si="36">IF(D$12=0,0,D84/D$12)</f>
        <v>0</v>
      </c>
      <c r="G84" s="1"/>
      <c r="H84" s="1">
        <f>SUM(OSRRefH22_7x_0)</f>
        <v>30</v>
      </c>
      <c r="I84" s="1"/>
      <c r="J84" s="5">
        <f t="shared" ref="J84:J90" si="37">IF(H$12=0,0,H84/H$12)</f>
        <v>2.9162454312154913E-4</v>
      </c>
      <c r="K84" s="1"/>
      <c r="L84" s="1">
        <f t="shared" ref="L84:L90" si="38">+D84-H84</f>
        <v>-30</v>
      </c>
      <c r="M84" s="1"/>
      <c r="N84" s="5">
        <f t="shared" ref="N84:N90" si="39">IF(H84=0,0,L84/H84)</f>
        <v>-1</v>
      </c>
      <c r="O84" s="13"/>
      <c r="P84" s="1">
        <f>SUM(OSRRefP22_7x_0)</f>
        <v>-30.15</v>
      </c>
      <c r="Q84" s="1"/>
      <c r="R84" s="5">
        <f t="shared" ref="R84:R90" si="40">IF(P$12=0,0,P84/P$12)</f>
        <v>-1.4929020602870393E-5</v>
      </c>
      <c r="S84" s="1"/>
      <c r="T84" s="1">
        <f>SUM(OSRRefT22_7x_0)</f>
        <v>270</v>
      </c>
      <c r="U84" s="1"/>
      <c r="V84" s="5">
        <f t="shared" ref="V84:V90" si="41">IF(T$12=0,0,T84/T$12)</f>
        <v>1.471788271809858E-4</v>
      </c>
      <c r="W84" s="1"/>
      <c r="X84" s="1">
        <f t="shared" ref="X84:X90" si="42">+P84-T84</f>
        <v>-300.14999999999998</v>
      </c>
      <c r="Y84" s="1"/>
      <c r="Z84" s="5">
        <f t="shared" ref="Z84:Z90" si="43">IF(T84=0,0,X84/T84)</f>
        <v>-1.1116666666666666</v>
      </c>
    </row>
    <row r="85" spans="1:26" s="24" customFormat="1" hidden="1" outlineLevel="2" x14ac:dyDescent="0.25">
      <c r="A85" s="26"/>
      <c r="B85" s="11" t="str">
        <f>CONCATENATE("          ", "6279", " - ", "GENERAL EXPENSE")</f>
        <v xml:space="preserve">          6279 - GENERAL EXPENSE</v>
      </c>
      <c r="C85" s="11"/>
      <c r="D85" s="7"/>
      <c r="E85" s="2"/>
      <c r="F85" s="6">
        <f t="shared" si="36"/>
        <v>0</v>
      </c>
      <c r="G85" s="2"/>
      <c r="H85" s="7">
        <v>30</v>
      </c>
      <c r="I85" s="2"/>
      <c r="J85" s="6">
        <f t="shared" si="37"/>
        <v>2.9162454312154913E-4</v>
      </c>
      <c r="K85" s="2"/>
      <c r="L85" s="7">
        <f t="shared" si="38"/>
        <v>-30</v>
      </c>
      <c r="M85" s="2"/>
      <c r="N85" s="6">
        <f t="shared" si="39"/>
        <v>-1</v>
      </c>
      <c r="O85" s="11"/>
      <c r="P85" s="7">
        <v>-30.15</v>
      </c>
      <c r="Q85" s="2"/>
      <c r="R85" s="6">
        <f t="shared" si="40"/>
        <v>-1.4929020602870393E-5</v>
      </c>
      <c r="S85" s="2"/>
      <c r="T85" s="7">
        <v>270</v>
      </c>
      <c r="U85" s="2"/>
      <c r="V85" s="6">
        <f t="shared" si="41"/>
        <v>1.471788271809858E-4</v>
      </c>
      <c r="W85" s="2"/>
      <c r="X85" s="7">
        <f t="shared" si="42"/>
        <v>-300.14999999999998</v>
      </c>
      <c r="Y85" s="2"/>
      <c r="Z85" s="6">
        <f t="shared" si="43"/>
        <v>-1.1116666666666666</v>
      </c>
    </row>
    <row r="86" spans="1:26" s="25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SUM(OSRRefD22_8x_0)</f>
        <v>1250</v>
      </c>
      <c r="E86" s="1"/>
      <c r="F86" s="5">
        <f t="shared" si="36"/>
        <v>2.9131739458959742E-3</v>
      </c>
      <c r="G86" s="1"/>
      <c r="H86" s="1">
        <f>SUM(OSRRefH22_8x_0)</f>
        <v>1250</v>
      </c>
      <c r="I86" s="1"/>
      <c r="J86" s="5">
        <f t="shared" si="37"/>
        <v>1.2151022630064547E-2</v>
      </c>
      <c r="K86" s="1"/>
      <c r="L86" s="1">
        <f t="shared" si="38"/>
        <v>0</v>
      </c>
      <c r="M86" s="1"/>
      <c r="N86" s="5">
        <f t="shared" si="39"/>
        <v>0</v>
      </c>
      <c r="O86" s="13"/>
      <c r="P86" s="1">
        <f>SUM(OSRRefP22_8x_0)</f>
        <v>11250</v>
      </c>
      <c r="Q86" s="1"/>
      <c r="R86" s="5">
        <f t="shared" si="40"/>
        <v>5.5705300756979078E-3</v>
      </c>
      <c r="S86" s="1"/>
      <c r="T86" s="1">
        <f>SUM(OSRRefT22_8x_0)</f>
        <v>11250</v>
      </c>
      <c r="U86" s="1"/>
      <c r="V86" s="5">
        <f t="shared" si="41"/>
        <v>6.132451132541075E-3</v>
      </c>
      <c r="W86" s="1"/>
      <c r="X86" s="1">
        <f t="shared" si="42"/>
        <v>0</v>
      </c>
      <c r="Y86" s="1"/>
      <c r="Z86" s="5">
        <f t="shared" si="43"/>
        <v>0</v>
      </c>
    </row>
    <row r="87" spans="1:26" s="24" customFormat="1" hidden="1" outlineLevel="2" x14ac:dyDescent="0.25">
      <c r="A87" s="26"/>
      <c r="B87" s="11" t="str">
        <f>CONCATENATE("          ", "6408", " - ", "INVENTORY ADJUSTMENT")</f>
        <v xml:space="preserve">          6408 - INVENTORY ADJUSTMENT</v>
      </c>
      <c r="C87" s="11"/>
      <c r="D87" s="7">
        <v>1250</v>
      </c>
      <c r="E87" s="2"/>
      <c r="F87" s="6">
        <f t="shared" si="36"/>
        <v>2.9131739458959742E-3</v>
      </c>
      <c r="G87" s="2"/>
      <c r="H87" s="7">
        <v>1250</v>
      </c>
      <c r="I87" s="2"/>
      <c r="J87" s="6">
        <f t="shared" si="37"/>
        <v>1.2151022630064547E-2</v>
      </c>
      <c r="K87" s="2"/>
      <c r="L87" s="7">
        <f t="shared" si="38"/>
        <v>0</v>
      </c>
      <c r="M87" s="2"/>
      <c r="N87" s="6">
        <f t="shared" si="39"/>
        <v>0</v>
      </c>
      <c r="O87" s="11"/>
      <c r="P87" s="7">
        <v>11250</v>
      </c>
      <c r="Q87" s="2"/>
      <c r="R87" s="6">
        <f t="shared" si="40"/>
        <v>5.5705300756979078E-3</v>
      </c>
      <c r="S87" s="2"/>
      <c r="T87" s="7">
        <v>11250</v>
      </c>
      <c r="U87" s="2"/>
      <c r="V87" s="6">
        <f t="shared" si="41"/>
        <v>6.132451132541075E-3</v>
      </c>
      <c r="W87" s="2"/>
      <c r="X87" s="7">
        <f t="shared" si="42"/>
        <v>0</v>
      </c>
      <c r="Y87" s="2"/>
      <c r="Z87" s="6">
        <f t="shared" si="43"/>
        <v>0</v>
      </c>
    </row>
    <row r="88" spans="1:26" s="25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SUM(OSRRefD22_9x_0)</f>
        <v>1550</v>
      </c>
      <c r="E88" s="1"/>
      <c r="F88" s="5">
        <f t="shared" si="36"/>
        <v>3.612335692911008E-3</v>
      </c>
      <c r="G88" s="1"/>
      <c r="H88" s="1">
        <f>SUM(OSRRefH22_9x_0)</f>
        <v>20</v>
      </c>
      <c r="I88" s="1"/>
      <c r="J88" s="5">
        <f t="shared" si="37"/>
        <v>1.9441636208103274E-4</v>
      </c>
      <c r="K88" s="1"/>
      <c r="L88" s="1">
        <f t="shared" si="38"/>
        <v>1530</v>
      </c>
      <c r="M88" s="1"/>
      <c r="N88" s="5">
        <f t="shared" si="39"/>
        <v>76.5</v>
      </c>
      <c r="O88" s="13"/>
      <c r="P88" s="1">
        <f>SUM(OSRRefP22_9x_0)</f>
        <v>1550</v>
      </c>
      <c r="Q88" s="1"/>
      <c r="R88" s="5">
        <f t="shared" si="40"/>
        <v>7.6749525487393401E-4</v>
      </c>
      <c r="S88" s="1"/>
      <c r="T88" s="1">
        <f>SUM(OSRRefT22_9x_0)</f>
        <v>185</v>
      </c>
      <c r="U88" s="1"/>
      <c r="V88" s="5">
        <f t="shared" si="41"/>
        <v>1.0084475195734212E-4</v>
      </c>
      <c r="W88" s="1"/>
      <c r="X88" s="1">
        <f t="shared" si="42"/>
        <v>1365</v>
      </c>
      <c r="Y88" s="1"/>
      <c r="Z88" s="5">
        <f t="shared" si="43"/>
        <v>7.3783783783783781</v>
      </c>
    </row>
    <row r="89" spans="1:26" s="24" customFormat="1" hidden="1" outlineLevel="2" x14ac:dyDescent="0.25">
      <c r="A89" s="26"/>
      <c r="B89" s="11" t="str">
        <f>CONCATENATE("          ", "6371", " - ", "COMPUTER SOFTWARE MAINTENANCE")</f>
        <v xml:space="preserve">          6371 - COMPUTER SOFTWARE MAINTENANCE</v>
      </c>
      <c r="C89" s="11"/>
      <c r="D89" s="7">
        <v>1550</v>
      </c>
      <c r="E89" s="2"/>
      <c r="F89" s="6">
        <f t="shared" si="36"/>
        <v>3.612335692911008E-3</v>
      </c>
      <c r="G89" s="2"/>
      <c r="H89" s="7"/>
      <c r="I89" s="2"/>
      <c r="J89" s="6">
        <f t="shared" si="37"/>
        <v>0</v>
      </c>
      <c r="K89" s="2"/>
      <c r="L89" s="7">
        <f t="shared" si="38"/>
        <v>1550</v>
      </c>
      <c r="M89" s="2"/>
      <c r="N89" s="6">
        <f t="shared" si="39"/>
        <v>0</v>
      </c>
      <c r="O89" s="11"/>
      <c r="P89" s="7">
        <v>1550</v>
      </c>
      <c r="Q89" s="2"/>
      <c r="R89" s="6">
        <f t="shared" si="40"/>
        <v>7.6749525487393401E-4</v>
      </c>
      <c r="S89" s="2"/>
      <c r="T89" s="7"/>
      <c r="U89" s="2"/>
      <c r="V89" s="6">
        <f t="shared" si="41"/>
        <v>0</v>
      </c>
      <c r="W89" s="2"/>
      <c r="X89" s="7">
        <f t="shared" si="42"/>
        <v>1550</v>
      </c>
      <c r="Y89" s="2"/>
      <c r="Z89" s="6">
        <f t="shared" si="43"/>
        <v>0</v>
      </c>
    </row>
    <row r="90" spans="1:26" s="24" customFormat="1" hidden="1" outlineLevel="2" x14ac:dyDescent="0.25">
      <c r="A90" s="26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36"/>
        <v>0</v>
      </c>
      <c r="G90" s="2"/>
      <c r="H90" s="7">
        <v>20</v>
      </c>
      <c r="I90" s="2"/>
      <c r="J90" s="6">
        <f t="shared" si="37"/>
        <v>1.9441636208103274E-4</v>
      </c>
      <c r="K90" s="2"/>
      <c r="L90" s="7">
        <f t="shared" si="38"/>
        <v>-20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185</v>
      </c>
      <c r="U90" s="2"/>
      <c r="V90" s="6">
        <f t="shared" si="41"/>
        <v>1.0084475195734212E-4</v>
      </c>
      <c r="W90" s="2"/>
      <c r="X90" s="7">
        <f t="shared" si="42"/>
        <v>-185</v>
      </c>
      <c r="Y90" s="2"/>
      <c r="Z90" s="6">
        <f t="shared" si="43"/>
        <v>-1</v>
      </c>
    </row>
    <row r="91" spans="1:26" s="25" customFormat="1" outlineLevel="1" collapsed="1" x14ac:dyDescent="0.25">
      <c r="A91" s="27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SUM(OSRRefD22_10x_0)</f>
        <v>1733.49</v>
      </c>
      <c r="E91" s="1"/>
      <c r="F91" s="5">
        <f t="shared" ref="F91:F95" si="44">IF(D$12=0,0,D91/D$12)</f>
        <v>4.03996632277697E-3</v>
      </c>
      <c r="G91" s="1"/>
      <c r="H91" s="1">
        <f>SUM(OSRRefH22_10x_0)</f>
        <v>310</v>
      </c>
      <c r="I91" s="1"/>
      <c r="J91" s="5">
        <f t="shared" ref="J91:J95" si="45">IF(H$12=0,0,H91/H$12)</f>
        <v>3.0134536122560073E-3</v>
      </c>
      <c r="K91" s="1"/>
      <c r="L91" s="1">
        <f t="shared" ref="L91:L95" si="46">+D91-H91</f>
        <v>1423.49</v>
      </c>
      <c r="M91" s="1"/>
      <c r="N91" s="5">
        <f t="shared" ref="N91:N95" si="47">IF(H91=0,0,L91/H91)</f>
        <v>4.591903225806452</v>
      </c>
      <c r="O91" s="13"/>
      <c r="P91" s="1">
        <f>SUM(OSRRefP22_10x_0)</f>
        <v>3812.09</v>
      </c>
      <c r="Q91" s="1"/>
      <c r="R91" s="5">
        <f t="shared" ref="R91:R95" si="48">IF(P$12=0,0,P91/P$12)</f>
        <v>1.8875877330015323E-3</v>
      </c>
      <c r="S91" s="1"/>
      <c r="T91" s="1">
        <f>SUM(OSRRefT22_10x_0)</f>
        <v>2790</v>
      </c>
      <c r="U91" s="1"/>
      <c r="V91" s="5">
        <f t="shared" ref="V91:V95" si="49">IF(T$12=0,0,T91/T$12)</f>
        <v>1.5208478808701866E-3</v>
      </c>
      <c r="W91" s="1"/>
      <c r="X91" s="1">
        <f t="shared" ref="X91:X95" si="50">+P91-T91</f>
        <v>1022.0900000000001</v>
      </c>
      <c r="Y91" s="1"/>
      <c r="Z91" s="5">
        <f t="shared" ref="Z91:Z95" si="51">IF(T91=0,0,X91/T91)</f>
        <v>0.36634050179211475</v>
      </c>
    </row>
    <row r="92" spans="1:26" s="24" customFormat="1" hidden="1" outlineLevel="2" x14ac:dyDescent="0.25">
      <c r="A92" s="26"/>
      <c r="B92" s="11" t="str">
        <f>CONCATENATE("          ", "6234", " - ", "EXPENDABLE SUPPLIES &amp; EQUIPMEN")</f>
        <v xml:space="preserve">          6234 - EXPENDABLE SUPPLIES &amp; EQUIPMEN</v>
      </c>
      <c r="C92" s="11"/>
      <c r="D92" s="7">
        <v>1733.49</v>
      </c>
      <c r="E92" s="2"/>
      <c r="F92" s="6">
        <f t="shared" si="44"/>
        <v>4.03996632277697E-3</v>
      </c>
      <c r="G92" s="2"/>
      <c r="H92" s="7"/>
      <c r="I92" s="2"/>
      <c r="J92" s="6">
        <f t="shared" si="45"/>
        <v>0</v>
      </c>
      <c r="K92" s="2"/>
      <c r="L92" s="7">
        <f t="shared" si="46"/>
        <v>1733.49</v>
      </c>
      <c r="M92" s="2"/>
      <c r="N92" s="6">
        <f t="shared" si="47"/>
        <v>0</v>
      </c>
      <c r="O92" s="11"/>
      <c r="P92" s="7">
        <v>1733.49</v>
      </c>
      <c r="Q92" s="2"/>
      <c r="R92" s="6">
        <f t="shared" si="48"/>
        <v>8.5835183830413925E-4</v>
      </c>
      <c r="S92" s="2"/>
      <c r="T92" s="7"/>
      <c r="U92" s="2"/>
      <c r="V92" s="6">
        <f t="shared" si="49"/>
        <v>0</v>
      </c>
      <c r="W92" s="2"/>
      <c r="X92" s="7">
        <f t="shared" si="50"/>
        <v>1733.49</v>
      </c>
      <c r="Y92" s="2"/>
      <c r="Z92" s="6">
        <f t="shared" si="51"/>
        <v>0</v>
      </c>
    </row>
    <row r="93" spans="1:26" s="24" customFormat="1" hidden="1" outlineLevel="2" x14ac:dyDescent="0.25">
      <c r="A93" s="26"/>
      <c r="B93" s="11" t="str">
        <f>CONCATENATE("          ", "6235", " - ", "COVID-19 EXPENSES")</f>
        <v xml:space="preserve">          6235 - COVID-19 EXPENSES</v>
      </c>
      <c r="C93" s="11"/>
      <c r="D93" s="7"/>
      <c r="E93" s="2"/>
      <c r="F93" s="6">
        <f t="shared" si="44"/>
        <v>0</v>
      </c>
      <c r="G93" s="2"/>
      <c r="H93" s="7"/>
      <c r="I93" s="2"/>
      <c r="J93" s="6">
        <f t="shared" si="45"/>
        <v>0</v>
      </c>
      <c r="K93" s="2"/>
      <c r="L93" s="7">
        <f t="shared" si="46"/>
        <v>0</v>
      </c>
      <c r="M93" s="2"/>
      <c r="N93" s="6">
        <f t="shared" si="47"/>
        <v>0</v>
      </c>
      <c r="O93" s="11"/>
      <c r="P93" s="7">
        <v>668.12</v>
      </c>
      <c r="Q93" s="2"/>
      <c r="R93" s="6">
        <f t="shared" si="48"/>
        <v>3.3082511592669211E-4</v>
      </c>
      <c r="S93" s="2"/>
      <c r="T93" s="7"/>
      <c r="U93" s="2"/>
      <c r="V93" s="6">
        <f t="shared" si="49"/>
        <v>0</v>
      </c>
      <c r="W93" s="2"/>
      <c r="X93" s="7">
        <f t="shared" si="50"/>
        <v>668.12</v>
      </c>
      <c r="Y93" s="2"/>
      <c r="Z93" s="6">
        <f t="shared" si="51"/>
        <v>0</v>
      </c>
    </row>
    <row r="94" spans="1:26" s="24" customFormat="1" hidden="1" outlineLevel="2" x14ac:dyDescent="0.25">
      <c r="A94" s="26"/>
      <c r="B94" s="11" t="str">
        <f>CONCATENATE("          ", "6241", " - ", "OFFICE EXPENSE")</f>
        <v xml:space="preserve">          6241 - OFFICE EXPENSE</v>
      </c>
      <c r="C94" s="11"/>
      <c r="D94" s="7"/>
      <c r="E94" s="2"/>
      <c r="F94" s="6">
        <f t="shared" si="44"/>
        <v>0</v>
      </c>
      <c r="G94" s="2"/>
      <c r="H94" s="7">
        <v>110</v>
      </c>
      <c r="I94" s="2"/>
      <c r="J94" s="6">
        <f t="shared" si="45"/>
        <v>1.0692899914456801E-3</v>
      </c>
      <c r="K94" s="2"/>
      <c r="L94" s="7">
        <f t="shared" si="46"/>
        <v>-110</v>
      </c>
      <c r="M94" s="2"/>
      <c r="N94" s="6">
        <f t="shared" si="47"/>
        <v>-1</v>
      </c>
      <c r="O94" s="11"/>
      <c r="P94" s="7">
        <v>1410.48</v>
      </c>
      <c r="Q94" s="2"/>
      <c r="R94" s="6">
        <f t="shared" si="48"/>
        <v>6.9841077877070092E-4</v>
      </c>
      <c r="S94" s="2"/>
      <c r="T94" s="7">
        <v>990</v>
      </c>
      <c r="U94" s="2"/>
      <c r="V94" s="6">
        <f t="shared" si="49"/>
        <v>5.3965569966361458E-4</v>
      </c>
      <c r="W94" s="2"/>
      <c r="X94" s="7">
        <f t="shared" si="50"/>
        <v>420.48</v>
      </c>
      <c r="Y94" s="2"/>
      <c r="Z94" s="6">
        <f t="shared" si="51"/>
        <v>0.42472727272727273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44"/>
        <v>0</v>
      </c>
      <c r="G95" s="2"/>
      <c r="H95" s="7">
        <v>200</v>
      </c>
      <c r="I95" s="2"/>
      <c r="J95" s="6">
        <f t="shared" si="45"/>
        <v>1.9441636208103275E-3</v>
      </c>
      <c r="K95" s="2"/>
      <c r="L95" s="7">
        <f t="shared" si="46"/>
        <v>-200</v>
      </c>
      <c r="M95" s="2"/>
      <c r="N95" s="6">
        <f t="shared" si="47"/>
        <v>-1</v>
      </c>
      <c r="O95" s="11"/>
      <c r="P95" s="7"/>
      <c r="Q95" s="2"/>
      <c r="R95" s="6">
        <f t="shared" si="48"/>
        <v>0</v>
      </c>
      <c r="S95" s="2"/>
      <c r="T95" s="7">
        <v>1800</v>
      </c>
      <c r="U95" s="2"/>
      <c r="V95" s="6">
        <f t="shared" si="49"/>
        <v>9.8119218120657197E-4</v>
      </c>
      <c r="W95" s="2"/>
      <c r="X95" s="7">
        <f t="shared" si="50"/>
        <v>-1800</v>
      </c>
      <c r="Y95" s="2"/>
      <c r="Z95" s="6">
        <f t="shared" si="51"/>
        <v>-1</v>
      </c>
    </row>
    <row r="96" spans="1:26" s="25" customFormat="1" outlineLevel="1" collapsed="1" x14ac:dyDescent="0.25">
      <c r="A96" s="27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SUM(OSRRefD22_11x_0)</f>
        <v>274.85000000000002</v>
      </c>
      <c r="E96" s="1"/>
      <c r="F96" s="5">
        <f t="shared" ref="F96:F99" si="52">IF(D$12=0,0,D96/D$12)</f>
        <v>6.405486872236068E-4</v>
      </c>
      <c r="G96" s="1"/>
      <c r="H96" s="1">
        <f>SUM(OSRRefH22_11x_0)</f>
        <v>250</v>
      </c>
      <c r="I96" s="1"/>
      <c r="J96" s="5">
        <f t="shared" ref="J96:J99" si="53">IF(H$12=0,0,H96/H$12)</f>
        <v>2.4302045260129091E-3</v>
      </c>
      <c r="K96" s="1"/>
      <c r="L96" s="1">
        <f t="shared" ref="L96:L99" si="54">+D96-H96</f>
        <v>24.850000000000023</v>
      </c>
      <c r="M96" s="1"/>
      <c r="N96" s="5">
        <f t="shared" ref="N96:N99" si="55">IF(H96=0,0,L96/H96)</f>
        <v>9.9400000000000086E-2</v>
      </c>
      <c r="O96" s="13"/>
      <c r="P96" s="1">
        <f>SUM(OSRRefP22_11x_0)</f>
        <v>2606.25</v>
      </c>
      <c r="Q96" s="1"/>
      <c r="R96" s="5">
        <f t="shared" ref="R96:R99" si="56">IF(P$12=0,0,P96/P$12)</f>
        <v>1.2905061342033486E-3</v>
      </c>
      <c r="S96" s="1"/>
      <c r="T96" s="1">
        <f>SUM(OSRRefT22_11x_0)</f>
        <v>2260</v>
      </c>
      <c r="U96" s="1"/>
      <c r="V96" s="5">
        <f t="shared" ref="V96:V99" si="57">IF(T$12=0,0,T96/T$12)</f>
        <v>1.231941294181585E-3</v>
      </c>
      <c r="W96" s="1"/>
      <c r="X96" s="1">
        <f t="shared" ref="X96:X99" si="58">+P96-T96</f>
        <v>346.25</v>
      </c>
      <c r="Y96" s="1"/>
      <c r="Z96" s="5">
        <f t="shared" ref="Z96:Z99" si="59">IF(T96=0,0,X96/T96)</f>
        <v>0.15320796460176991</v>
      </c>
    </row>
    <row r="97" spans="1:26" s="24" customFormat="1" hidden="1" outlineLevel="2" x14ac:dyDescent="0.25">
      <c r="A97" s="26"/>
      <c r="B97" s="11" t="str">
        <f>CONCATENATE("          ", "6309", " - ", "TELEPHONE")</f>
        <v xml:space="preserve">          6309 - TELEPHONE</v>
      </c>
      <c r="C97" s="11"/>
      <c r="D97" s="7">
        <v>274.85000000000002</v>
      </c>
      <c r="E97" s="2"/>
      <c r="F97" s="6">
        <f t="shared" si="52"/>
        <v>6.405486872236068E-4</v>
      </c>
      <c r="G97" s="2"/>
      <c r="H97" s="7">
        <v>250</v>
      </c>
      <c r="I97" s="2"/>
      <c r="J97" s="6">
        <f t="shared" si="53"/>
        <v>2.4302045260129091E-3</v>
      </c>
      <c r="K97" s="2"/>
      <c r="L97" s="7">
        <f t="shared" si="54"/>
        <v>24.850000000000023</v>
      </c>
      <c r="M97" s="2"/>
      <c r="N97" s="6">
        <f t="shared" si="55"/>
        <v>9.9400000000000086E-2</v>
      </c>
      <c r="O97" s="11"/>
      <c r="P97" s="7">
        <v>2606.25</v>
      </c>
      <c r="Q97" s="2"/>
      <c r="R97" s="6">
        <f t="shared" si="56"/>
        <v>1.2905061342033486E-3</v>
      </c>
      <c r="S97" s="2"/>
      <c r="T97" s="7">
        <v>2260</v>
      </c>
      <c r="U97" s="2"/>
      <c r="V97" s="6">
        <f t="shared" si="57"/>
        <v>1.231941294181585E-3</v>
      </c>
      <c r="W97" s="2"/>
      <c r="X97" s="7">
        <f t="shared" si="58"/>
        <v>346.25</v>
      </c>
      <c r="Y97" s="2"/>
      <c r="Z97" s="6">
        <f t="shared" si="59"/>
        <v>0.15320796460176991</v>
      </c>
    </row>
    <row r="98" spans="1:26" s="25" customFormat="1" outlineLevel="1" collapsed="1" x14ac:dyDescent="0.25">
      <c r="A98" s="27"/>
      <c r="B98" s="13" t="str">
        <f>CONCATENATE("     ","Training                                          ")</f>
        <v xml:space="preserve">     Training                                          </v>
      </c>
      <c r="C98" s="13"/>
      <c r="D98" s="1">
        <f>SUM(OSRRefD22_12x_0)</f>
        <v>0</v>
      </c>
      <c r="E98" s="1"/>
      <c r="F98" s="5">
        <f t="shared" si="52"/>
        <v>0</v>
      </c>
      <c r="G98" s="1"/>
      <c r="H98" s="1">
        <f>SUM(OSRRefH22_12x_0)</f>
        <v>0</v>
      </c>
      <c r="I98" s="1"/>
      <c r="J98" s="5">
        <f t="shared" si="53"/>
        <v>0</v>
      </c>
      <c r="K98" s="1"/>
      <c r="L98" s="1">
        <f t="shared" si="54"/>
        <v>0</v>
      </c>
      <c r="M98" s="1"/>
      <c r="N98" s="5">
        <f t="shared" si="55"/>
        <v>0</v>
      </c>
      <c r="O98" s="13"/>
      <c r="P98" s="1">
        <f>SUM(OSRRefP22_12x_0)</f>
        <v>100</v>
      </c>
      <c r="Q98" s="1"/>
      <c r="R98" s="5">
        <f t="shared" si="56"/>
        <v>4.9515822895092517E-5</v>
      </c>
      <c r="S98" s="1"/>
      <c r="T98" s="1">
        <f>SUM(OSRRefT22_12x_0)</f>
        <v>2500</v>
      </c>
      <c r="U98" s="1"/>
      <c r="V98" s="5">
        <f t="shared" si="57"/>
        <v>1.3627669183424612E-3</v>
      </c>
      <c r="W98" s="1"/>
      <c r="X98" s="1">
        <f t="shared" si="58"/>
        <v>-2400</v>
      </c>
      <c r="Y98" s="1"/>
      <c r="Z98" s="5">
        <f t="shared" si="59"/>
        <v>-0.96</v>
      </c>
    </row>
    <row r="99" spans="1:26" s="24" customFormat="1" hidden="1" outlineLevel="2" x14ac:dyDescent="0.25">
      <c r="A99" s="26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52"/>
        <v>0</v>
      </c>
      <c r="G99" s="2"/>
      <c r="H99" s="7"/>
      <c r="I99" s="2"/>
      <c r="J99" s="6">
        <f t="shared" si="53"/>
        <v>0</v>
      </c>
      <c r="K99" s="2"/>
      <c r="L99" s="7">
        <f t="shared" si="54"/>
        <v>0</v>
      </c>
      <c r="M99" s="2"/>
      <c r="N99" s="6">
        <f t="shared" si="55"/>
        <v>0</v>
      </c>
      <c r="O99" s="11"/>
      <c r="P99" s="7">
        <v>100</v>
      </c>
      <c r="Q99" s="2"/>
      <c r="R99" s="6">
        <f t="shared" si="56"/>
        <v>4.9515822895092517E-5</v>
      </c>
      <c r="S99" s="2"/>
      <c r="T99" s="7">
        <v>2500</v>
      </c>
      <c r="U99" s="2"/>
      <c r="V99" s="6">
        <f t="shared" si="57"/>
        <v>1.3627669183424612E-3</v>
      </c>
      <c r="W99" s="2"/>
      <c r="X99" s="7">
        <f t="shared" si="58"/>
        <v>-2400</v>
      </c>
      <c r="Y99" s="2"/>
      <c r="Z99" s="6">
        <f t="shared" si="59"/>
        <v>-0.96</v>
      </c>
    </row>
    <row r="100" spans="1:26" s="59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293</v>
      </c>
      <c r="C101" s="10"/>
      <c r="D101" s="4">
        <f>SUM(OSRRefD25x_0)</f>
        <v>25561.239999999998</v>
      </c>
      <c r="E101" s="4"/>
      <c r="F101" s="12">
        <f t="shared" ref="F101:F103" si="60">IF(D$12=0,0,D101/D$12)</f>
        <v>5.95714707142352E-2</v>
      </c>
      <c r="G101" s="4"/>
      <c r="H101" s="4">
        <f>SUM(OSRRefH25x_0)</f>
        <v>818</v>
      </c>
      <c r="I101" s="4"/>
      <c r="J101" s="12">
        <f t="shared" ref="J101:J103" si="61">IF(H$12=0,0,H101/H$12)</f>
        <v>7.9516292091142398E-3</v>
      </c>
      <c r="K101" s="4"/>
      <c r="L101" s="4">
        <f t="shared" ref="L101:L103" si="62">+D101-H101</f>
        <v>24743.239999999998</v>
      </c>
      <c r="M101" s="4"/>
      <c r="N101" s="12">
        <f t="shared" ref="N101:N103" si="63">IF(H101=0,0,L101/H101)</f>
        <v>30.248459657701709</v>
      </c>
      <c r="O101" s="10"/>
      <c r="P101" s="4">
        <f>SUM(OSRRefP25x_0)</f>
        <v>26839.88</v>
      </c>
      <c r="Q101" s="4"/>
      <c r="R101" s="12">
        <f t="shared" ref="R101:R103" si="64">IF(P$12=0,0,P101/P$12)</f>
        <v>1.3289987446055357E-2</v>
      </c>
      <c r="S101" s="4"/>
      <c r="T101" s="4">
        <f>SUM(OSRRefT25x_0)</f>
        <v>14590</v>
      </c>
      <c r="U101" s="4"/>
      <c r="V101" s="12">
        <f t="shared" ref="V101:V103" si="65">IF(T$12=0,0,T101/T$12)</f>
        <v>7.9531077354466038E-3</v>
      </c>
      <c r="W101" s="4"/>
      <c r="X101" s="4">
        <f t="shared" ref="X101:X103" si="66">+P101-T101</f>
        <v>12249.880000000001</v>
      </c>
      <c r="Y101" s="4"/>
      <c r="Z101" s="12">
        <f t="shared" ref="Z101:Z103" si="67">IF(T101=0,0,X101/T101)</f>
        <v>0.83960795065113103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--160.46</f>
        <v>160.46</v>
      </c>
      <c r="E102" s="2"/>
      <c r="F102" s="19">
        <f t="shared" si="60"/>
        <v>3.7395831308677442E-4</v>
      </c>
      <c r="G102" s="2"/>
      <c r="H102" s="2"/>
      <c r="I102" s="2"/>
      <c r="J102" s="19">
        <f t="shared" si="61"/>
        <v>0</v>
      </c>
      <c r="K102" s="2"/>
      <c r="L102" s="2">
        <f t="shared" si="62"/>
        <v>160.46</v>
      </c>
      <c r="M102" s="2"/>
      <c r="N102" s="19">
        <f t="shared" si="63"/>
        <v>0</v>
      </c>
      <c r="O102" s="11"/>
      <c r="P102" s="2">
        <f>--1614.97</f>
        <v>1614.97</v>
      </c>
      <c r="Q102" s="2"/>
      <c r="R102" s="19">
        <f t="shared" si="64"/>
        <v>7.9966568500887555E-4</v>
      </c>
      <c r="S102" s="2"/>
      <c r="T102" s="2"/>
      <c r="U102" s="2"/>
      <c r="V102" s="19">
        <f t="shared" si="65"/>
        <v>0</v>
      </c>
      <c r="W102" s="2"/>
      <c r="X102" s="2">
        <f t="shared" si="66"/>
        <v>1614.97</v>
      </c>
      <c r="Y102" s="2"/>
      <c r="Z102" s="19">
        <f t="shared" si="67"/>
        <v>0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--25400.78</f>
        <v>25400.78</v>
      </c>
      <c r="E103" s="2"/>
      <c r="F103" s="19">
        <f t="shared" si="60"/>
        <v>5.9197512401148428E-2</v>
      </c>
      <c r="G103" s="2"/>
      <c r="H103" s="2">
        <v>818</v>
      </c>
      <c r="I103" s="2"/>
      <c r="J103" s="19">
        <f t="shared" si="61"/>
        <v>7.9516292091142398E-3</v>
      </c>
      <c r="K103" s="2"/>
      <c r="L103" s="2">
        <f t="shared" si="62"/>
        <v>24582.78</v>
      </c>
      <c r="M103" s="2"/>
      <c r="N103" s="19">
        <f t="shared" si="63"/>
        <v>30.052298288508556</v>
      </c>
      <c r="O103" s="11"/>
      <c r="P103" s="2">
        <f>--25224.91</f>
        <v>25224.91</v>
      </c>
      <c r="Q103" s="2"/>
      <c r="R103" s="19">
        <f t="shared" si="64"/>
        <v>1.2490321761046481E-2</v>
      </c>
      <c r="S103" s="2"/>
      <c r="T103" s="2">
        <v>14590</v>
      </c>
      <c r="U103" s="2"/>
      <c r="V103" s="19">
        <f t="shared" si="65"/>
        <v>7.9531077354466038E-3</v>
      </c>
      <c r="W103" s="2"/>
      <c r="X103" s="2">
        <f t="shared" si="66"/>
        <v>10634.91</v>
      </c>
      <c r="Y103" s="2"/>
      <c r="Z103" s="19">
        <f t="shared" si="67"/>
        <v>0.72891775188485264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9" t="s">
        <v>277</v>
      </c>
      <c r="C105" s="29"/>
      <c r="D105" s="20">
        <f>+D48-D50+D101</f>
        <v>81669.87</v>
      </c>
      <c r="E105" s="14"/>
      <c r="F105" s="21">
        <f>IF(D$12=0,0,D105/D$12)</f>
        <v>0.19033482995896897</v>
      </c>
      <c r="G105" s="14"/>
      <c r="H105" s="20">
        <f>+H48-H50+H101</f>
        <v>5810.7621471538441</v>
      </c>
      <c r="I105" s="14"/>
      <c r="J105" s="21">
        <f>IF(H$12=0,0,H105/H$12)</f>
        <v>5.6485361878391052E-2</v>
      </c>
      <c r="K105" s="16"/>
      <c r="L105" s="20">
        <f>+D105-H105</f>
        <v>75859.107852846151</v>
      </c>
      <c r="M105" s="16"/>
      <c r="N105" s="21">
        <f>IF(H105=0,0,L105/H105)</f>
        <v>13.054932542713441</v>
      </c>
      <c r="O105" s="28"/>
      <c r="P105" s="20">
        <f>+P48-P50+P101</f>
        <v>57815.850000000108</v>
      </c>
      <c r="Q105" s="14"/>
      <c r="R105" s="21">
        <f>IF(P$12=0,0,P105/P$12)</f>
        <v>2.8627993891292398E-2</v>
      </c>
      <c r="S105" s="14"/>
      <c r="T105" s="20">
        <f>+T48-T50+T101</f>
        <v>241603.30536765003</v>
      </c>
      <c r="U105" s="14"/>
      <c r="V105" s="21">
        <f>IF(T$12=0,0,T105/T$12)</f>
        <v>0.13169959676689003</v>
      </c>
      <c r="W105" s="16"/>
      <c r="X105" s="20">
        <f>+P105-T105</f>
        <v>-183787.45536764991</v>
      </c>
      <c r="Y105" s="16"/>
      <c r="Z105" s="21">
        <f>IF(T105=0,0,X105/T105)</f>
        <v>-0.76069925901046265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2"/>
      <c r="B107" s="10" t="s">
        <v>128</v>
      </c>
      <c r="C107" s="10"/>
      <c r="D107" s="4">
        <v>101243.25</v>
      </c>
      <c r="E107" s="4"/>
      <c r="F107" s="12">
        <f>IF(D$12=0,0,D107/D$12)</f>
        <v>0.23595135847826607</v>
      </c>
      <c r="G107" s="4"/>
      <c r="H107" s="4">
        <v>26609</v>
      </c>
      <c r="I107" s="4"/>
      <c r="J107" s="12">
        <f>IF(H$12=0,0,H107/H$12)</f>
        <v>0.25866124893071002</v>
      </c>
      <c r="K107" s="4"/>
      <c r="L107" s="4">
        <f>+D107-H107</f>
        <v>74634.25</v>
      </c>
      <c r="M107" s="4"/>
      <c r="N107" s="12">
        <f>IF(H107=0,0,L107/H107)</f>
        <v>2.8048498628283665</v>
      </c>
      <c r="O107" s="10"/>
      <c r="P107" s="4">
        <v>416213.44</v>
      </c>
      <c r="Q107" s="4"/>
      <c r="R107" s="12">
        <f>IF(P$12=0,0,P107/P$12)</f>
        <v>0.20609150981597216</v>
      </c>
      <c r="S107" s="4"/>
      <c r="T107" s="4">
        <v>324413</v>
      </c>
      <c r="U107" s="4"/>
      <c r="V107" s="12">
        <f>IF(T$12=0,0,T107/T$12)</f>
        <v>0.17683972171209314</v>
      </c>
      <c r="W107" s="4"/>
      <c r="X107" s="4">
        <f>+P107-T107</f>
        <v>91800.44</v>
      </c>
      <c r="Y107" s="4"/>
      <c r="Z107" s="12">
        <f>IF(T107=0,0,X107/T107)</f>
        <v>0.28297398686242536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126</v>
      </c>
      <c r="C109" s="29"/>
      <c r="D109" s="34">
        <f>+D105-D107</f>
        <v>-19573.380000000005</v>
      </c>
      <c r="E109" s="14"/>
      <c r="F109" s="30">
        <f>IF(D$12=0,0,D109/D$12)</f>
        <v>-4.5616528519297081E-2</v>
      </c>
      <c r="G109" s="14"/>
      <c r="H109" s="34">
        <f>+H105-H107</f>
        <v>-20798.237852846156</v>
      </c>
      <c r="I109" s="14"/>
      <c r="J109" s="30">
        <f>IF(H$12=0,0,H109/H$12)</f>
        <v>-0.20217588705231895</v>
      </c>
      <c r="K109" s="16"/>
      <c r="L109" s="34">
        <f>D109-H109</f>
        <v>1224.8578528461512</v>
      </c>
      <c r="M109" s="16"/>
      <c r="N109" s="30">
        <f>IF(H109=0,0,L109/H109)</f>
        <v>-5.8892386052721978E-2</v>
      </c>
      <c r="O109" s="28"/>
      <c r="P109" s="34">
        <f>+P105-P107</f>
        <v>-358397.58999999991</v>
      </c>
      <c r="Q109" s="14"/>
      <c r="R109" s="30">
        <f>IF(P$12=0,0,P109/P$12)</f>
        <v>-0.17746351592467977</v>
      </c>
      <c r="S109" s="14"/>
      <c r="T109" s="34">
        <f>+T105-T107</f>
        <v>-82809.694632349972</v>
      </c>
      <c r="U109" s="14"/>
      <c r="V109" s="30">
        <f>IF(T$12=0,0,T109/T$12)</f>
        <v>-4.5140124945203128E-2</v>
      </c>
      <c r="W109" s="16"/>
      <c r="X109" s="34">
        <f>P109-T109</f>
        <v>-275587.89536764997</v>
      </c>
      <c r="Y109" s="16"/>
      <c r="Z109" s="30">
        <f>IF(T109=0,0,X109/T109)</f>
        <v>3.3279665695082801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9" t="s">
        <v>294</v>
      </c>
      <c r="C112" s="29"/>
      <c r="D112" s="31">
        <f>SUM(D109:D111)</f>
        <v>-19573.380000000005</v>
      </c>
      <c r="E112" s="14"/>
      <c r="F112" s="35">
        <f>IF(D$12=0,0,D112/D$12)</f>
        <v>-4.5616528519297081E-2</v>
      </c>
      <c r="G112" s="14"/>
      <c r="H112" s="31">
        <f>SUM(H109:H111)</f>
        <v>-20798.237852846156</v>
      </c>
      <c r="I112" s="14"/>
      <c r="J112" s="35">
        <f>IF(H$12=0,0,H112/H$12)</f>
        <v>-0.20217588705231895</v>
      </c>
      <c r="K112" s="16"/>
      <c r="L112" s="31">
        <f>+D112-H112</f>
        <v>1224.8578528461512</v>
      </c>
      <c r="M112" s="16"/>
      <c r="N112" s="35">
        <f>IF(H112=0,0,L112/H112)</f>
        <v>-5.8892386052721978E-2</v>
      </c>
      <c r="O112" s="28"/>
      <c r="P112" s="31">
        <f>SUM(P109:P111)</f>
        <v>-358397.58999999991</v>
      </c>
      <c r="Q112" s="14"/>
      <c r="R112" s="35">
        <f>IF(P$12=0,0,P112/P$12)</f>
        <v>-0.17746351592467977</v>
      </c>
      <c r="S112" s="14"/>
      <c r="T112" s="31">
        <f>SUM(T109:T111)</f>
        <v>-82809.694632349972</v>
      </c>
      <c r="U112" s="14"/>
      <c r="V112" s="35">
        <f>IF(T$12=0,0,T112/T$12)</f>
        <v>-4.5140124945203128E-2</v>
      </c>
      <c r="W112" s="16"/>
      <c r="X112" s="31">
        <f>+P112-T112</f>
        <v>-275587.89536764997</v>
      </c>
      <c r="Y112" s="16"/>
      <c r="Z112" s="35">
        <f>IF(T112=0,0,X112/T112)</f>
        <v>3.3279665695082801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6">
        <v>44295.961797766206</v>
      </c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A115" s="9"/>
      <c r="B115" s="53" t="s">
        <v>56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4" x14ac:dyDescent="0.25">
      <c r="A116" s="9"/>
      <c r="B116" s="54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00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100.55</v>
      </c>
      <c r="E12" s="4"/>
      <c r="F12" s="12"/>
      <c r="G12" s="4"/>
      <c r="H12" s="4">
        <f>SUM(OSRRefH13x_0)</f>
        <v>102460</v>
      </c>
      <c r="I12" s="4"/>
      <c r="J12" s="12"/>
      <c r="K12" s="4"/>
      <c r="L12" s="4">
        <f t="shared" ref="L12:L20" si="0">+D12-H12</f>
        <v>-102359.45</v>
      </c>
      <c r="M12" s="4"/>
      <c r="N12" s="12">
        <f t="shared" ref="N12:N20" si="1">IF(H12=0,0,L12/H12)</f>
        <v>-0.99901864142104235</v>
      </c>
      <c r="O12" s="10"/>
      <c r="P12" s="4">
        <f>SUM(OSRRefP13x_0)</f>
        <v>2821.0200000000004</v>
      </c>
      <c r="Q12" s="4"/>
      <c r="R12" s="12"/>
      <c r="S12" s="4"/>
      <c r="T12" s="4">
        <f>SUM(OSRRefT13x_0)</f>
        <v>460801</v>
      </c>
      <c r="U12" s="4"/>
      <c r="V12" s="12"/>
      <c r="W12" s="4"/>
      <c r="X12" s="4">
        <f t="shared" ref="X12:X20" si="2">+P12-T12</f>
        <v>-457979.98</v>
      </c>
      <c r="Y12" s="4"/>
      <c r="Z12" s="12">
        <f t="shared" ref="Z12:Z20" si="3">IF(T12=0,0,X12/T12)</f>
        <v>-0.99387800807723936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9" si="4">0</f>
        <v>0</v>
      </c>
      <c r="E13" s="2"/>
      <c r="F13" s="19"/>
      <c r="G13" s="2"/>
      <c r="H13" s="2">
        <v>8315</v>
      </c>
      <c r="I13" s="2"/>
      <c r="J13" s="19"/>
      <c r="K13" s="2"/>
      <c r="L13" s="2">
        <f t="shared" si="0"/>
        <v>-8315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38017</v>
      </c>
      <c r="U13" s="2"/>
      <c r="V13" s="19"/>
      <c r="W13" s="2"/>
      <c r="X13" s="2">
        <f t="shared" si="2"/>
        <v>-38017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94145</v>
      </c>
      <c r="I16" s="2"/>
      <c r="J16" s="19"/>
      <c r="K16" s="2"/>
      <c r="L16" s="2">
        <f t="shared" si="0"/>
        <v>-94145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v>422784</v>
      </c>
      <c r="U16" s="2"/>
      <c r="V16" s="19"/>
      <c r="W16" s="2"/>
      <c r="X16" s="2">
        <f t="shared" si="2"/>
        <v>-422784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--2031.88</f>
        <v>2031.88</v>
      </c>
      <c r="Q17" s="2"/>
      <c r="R17" s="19"/>
      <c r="S17" s="2"/>
      <c r="T17" s="2"/>
      <c r="U17" s="2"/>
      <c r="V17" s="19"/>
      <c r="W17" s="2"/>
      <c r="X17" s="2">
        <f t="shared" si="2"/>
        <v>2031.88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19" si="6"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/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--100.55</f>
        <v>100.55</v>
      </c>
      <c r="E20" s="2"/>
      <c r="F20" s="19"/>
      <c r="G20" s="2"/>
      <c r="H20" s="2"/>
      <c r="I20" s="2"/>
      <c r="J20" s="19"/>
      <c r="K20" s="2"/>
      <c r="L20" s="2">
        <f t="shared" si="0"/>
        <v>100.55</v>
      </c>
      <c r="M20" s="2"/>
      <c r="N20" s="19">
        <f t="shared" si="1"/>
        <v>0</v>
      </c>
      <c r="O20" s="11"/>
      <c r="P20" s="2">
        <f>--344.55</f>
        <v>344.55</v>
      </c>
      <c r="Q20" s="2"/>
      <c r="R20" s="19"/>
      <c r="S20" s="2"/>
      <c r="T20" s="2"/>
      <c r="U20" s="2"/>
      <c r="V20" s="19"/>
      <c r="W20" s="2"/>
      <c r="X20" s="2">
        <f t="shared" si="2"/>
        <v>344.55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8" t="s">
        <v>257</v>
      </c>
      <c r="C22" s="10"/>
      <c r="D22" s="4">
        <f>SUM(OSRRefD16x_0)</f>
        <v>195.4</v>
      </c>
      <c r="E22" s="4"/>
      <c r="F22" s="12">
        <f t="shared" ref="F22:F25" si="7">IF(D$12=0,0,D22/D$12)</f>
        <v>1.9433117851815018</v>
      </c>
      <c r="G22" s="4"/>
      <c r="H22" s="4">
        <f>SUM(OSRRefH16x_0)</f>
        <v>49789</v>
      </c>
      <c r="I22" s="4"/>
      <c r="J22" s="12">
        <f t="shared" ref="J22:J25" si="8">IF(H$12=0,0,H22/H$12)</f>
        <v>0.48593597501463986</v>
      </c>
      <c r="K22" s="4"/>
      <c r="L22" s="4">
        <f t="shared" ref="L22:L25" si="9">+D22-H22</f>
        <v>-49593.599999999999</v>
      </c>
      <c r="M22" s="4"/>
      <c r="N22" s="12">
        <f t="shared" ref="N22:N25" si="10">IF(H22=0,0,L22/H22)</f>
        <v>-0.99607543834983625</v>
      </c>
      <c r="O22" s="10"/>
      <c r="P22" s="4">
        <f>SUM(OSRRefP16x_0)</f>
        <v>28219.360000000001</v>
      </c>
      <c r="Q22" s="4"/>
      <c r="R22" s="12">
        <f t="shared" ref="R22:R25" si="11">IF(P$12=0,0,P22/P$12)</f>
        <v>10.003247052484561</v>
      </c>
      <c r="S22" s="4"/>
      <c r="T22" s="4">
        <f>SUM(OSRRefT16x_0)</f>
        <v>213351</v>
      </c>
      <c r="U22" s="4"/>
      <c r="V22" s="12">
        <f t="shared" ref="V22:V25" si="12">IF(T$12=0,0,T22/T$12)</f>
        <v>0.4630002973083826</v>
      </c>
      <c r="W22" s="4"/>
      <c r="X22" s="4">
        <f t="shared" ref="X22:X25" si="13">+P22-T22</f>
        <v>-185131.64</v>
      </c>
      <c r="Y22" s="4"/>
      <c r="Z22" s="12">
        <f t="shared" ref="Z22:Z25" si="14">IF(T22=0,0,X22/T22)</f>
        <v>-0.8677327033855009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7"/>
        <v>0</v>
      </c>
      <c r="G23" s="2"/>
      <c r="H23" s="2">
        <v>49789</v>
      </c>
      <c r="I23" s="2"/>
      <c r="J23" s="19">
        <f t="shared" si="8"/>
        <v>0.48593597501463986</v>
      </c>
      <c r="K23" s="2"/>
      <c r="L23" s="2">
        <f t="shared" si="9"/>
        <v>-49789</v>
      </c>
      <c r="M23" s="2"/>
      <c r="N23" s="19">
        <f t="shared" si="10"/>
        <v>-1</v>
      </c>
      <c r="O23" s="11"/>
      <c r="P23" s="2"/>
      <c r="Q23" s="2"/>
      <c r="R23" s="19">
        <f t="shared" si="11"/>
        <v>0</v>
      </c>
      <c r="S23" s="2"/>
      <c r="T23" s="2">
        <v>213351</v>
      </c>
      <c r="U23" s="2"/>
      <c r="V23" s="19">
        <f t="shared" si="12"/>
        <v>0.4630002973083826</v>
      </c>
      <c r="W23" s="2"/>
      <c r="X23" s="2">
        <f t="shared" si="13"/>
        <v>-213351</v>
      </c>
      <c r="Y23" s="2"/>
      <c r="Z23" s="19">
        <f t="shared" si="14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176.4</v>
      </c>
      <c r="E24" s="2"/>
      <c r="F24" s="19">
        <f t="shared" si="7"/>
        <v>1.754351069119841</v>
      </c>
      <c r="G24" s="2"/>
      <c r="H24" s="2"/>
      <c r="I24" s="2"/>
      <c r="J24" s="19">
        <f t="shared" si="8"/>
        <v>0</v>
      </c>
      <c r="K24" s="2"/>
      <c r="L24" s="2">
        <f t="shared" si="9"/>
        <v>176.4</v>
      </c>
      <c r="M24" s="2"/>
      <c r="N24" s="19">
        <f t="shared" si="10"/>
        <v>0</v>
      </c>
      <c r="O24" s="11"/>
      <c r="P24" s="2">
        <v>-2646.55</v>
      </c>
      <c r="Q24" s="2"/>
      <c r="R24" s="19">
        <f t="shared" si="11"/>
        <v>-0.93815357565703172</v>
      </c>
      <c r="S24" s="2"/>
      <c r="T24" s="2"/>
      <c r="U24" s="2"/>
      <c r="V24" s="19">
        <f t="shared" si="12"/>
        <v>0</v>
      </c>
      <c r="W24" s="2"/>
      <c r="X24" s="2">
        <f t="shared" si="13"/>
        <v>-2646.55</v>
      </c>
      <c r="Y24" s="2"/>
      <c r="Z24" s="19">
        <f t="shared" si="14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19</v>
      </c>
      <c r="E25" s="2"/>
      <c r="F25" s="19">
        <f t="shared" si="7"/>
        <v>0.18896071606166087</v>
      </c>
      <c r="G25" s="2"/>
      <c r="H25" s="2"/>
      <c r="I25" s="2"/>
      <c r="J25" s="19">
        <f t="shared" si="8"/>
        <v>0</v>
      </c>
      <c r="K25" s="2"/>
      <c r="L25" s="2">
        <f t="shared" si="9"/>
        <v>19</v>
      </c>
      <c r="M25" s="2"/>
      <c r="N25" s="19">
        <f t="shared" si="10"/>
        <v>0</v>
      </c>
      <c r="O25" s="11"/>
      <c r="P25" s="2">
        <v>30865.91</v>
      </c>
      <c r="Q25" s="2"/>
      <c r="R25" s="19">
        <f t="shared" si="11"/>
        <v>10.941400628141592</v>
      </c>
      <c r="S25" s="2"/>
      <c r="T25" s="2"/>
      <c r="U25" s="2"/>
      <c r="V25" s="19">
        <f t="shared" si="12"/>
        <v>0</v>
      </c>
      <c r="W25" s="2"/>
      <c r="X25" s="2">
        <f t="shared" si="13"/>
        <v>30865.91</v>
      </c>
      <c r="Y25" s="2"/>
      <c r="Z25" s="19">
        <f t="shared" si="14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108</v>
      </c>
      <c r="C27" s="29"/>
      <c r="D27" s="20">
        <f>D12-D22</f>
        <v>-94.850000000000009</v>
      </c>
      <c r="E27" s="14"/>
      <c r="F27" s="21">
        <f>IF(D$12=0,0,D27/D$12)</f>
        <v>-0.94331178518150183</v>
      </c>
      <c r="G27" s="14"/>
      <c r="H27" s="20">
        <f>H12-H22</f>
        <v>52671</v>
      </c>
      <c r="I27" s="14"/>
      <c r="J27" s="21">
        <f>IF(H$12=0,0,H27/H$12)</f>
        <v>0.51406402498536019</v>
      </c>
      <c r="K27" s="16"/>
      <c r="L27" s="20">
        <f>+D27-H27</f>
        <v>-52765.85</v>
      </c>
      <c r="M27" s="16"/>
      <c r="N27" s="21">
        <f>IF(H27=0,0,L27/H27)</f>
        <v>-1.0018008011999013</v>
      </c>
      <c r="O27" s="28"/>
      <c r="P27" s="20">
        <f>P12-P22</f>
        <v>-25398.34</v>
      </c>
      <c r="Q27" s="14"/>
      <c r="R27" s="21">
        <f>IF(P$12=0,0,P27/P$12)</f>
        <v>-9.0032470524845607</v>
      </c>
      <c r="S27" s="14"/>
      <c r="T27" s="20">
        <f>T12-T22</f>
        <v>247450</v>
      </c>
      <c r="U27" s="14"/>
      <c r="V27" s="21">
        <f>IF(T$12=0,0,T27/T$12)</f>
        <v>0.53699970269161745</v>
      </c>
      <c r="W27" s="16"/>
      <c r="X27" s="20">
        <f>+P27-T27</f>
        <v>-272848.34000000003</v>
      </c>
      <c r="Y27" s="16"/>
      <c r="Z27" s="21">
        <f>IF(T27=0,0,X27/T27)</f>
        <v>-1.1026402909678723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295</v>
      </c>
      <c r="C29" s="10"/>
      <c r="D29" s="22">
        <f>SUM(OSRRefD22x_0)</f>
        <v>13938.990000000003</v>
      </c>
      <c r="E29" s="22"/>
      <c r="F29" s="32">
        <f t="shared" ref="F29:F39" si="15">IF(D$12=0,0,D29/D$12)</f>
        <v>138.6274490303332</v>
      </c>
      <c r="G29" s="22"/>
      <c r="H29" s="22">
        <f>SUM(OSRRefH22x_0)</f>
        <v>63059.315806899998</v>
      </c>
      <c r="I29" s="22"/>
      <c r="J29" s="32">
        <f t="shared" ref="J29:J39" si="16">IF(H$12=0,0,H29/H$12)</f>
        <v>0.61545301392641028</v>
      </c>
      <c r="K29" s="4"/>
      <c r="L29" s="22">
        <f t="shared" ref="L29:L39" si="17">+D29-H29</f>
        <v>-49120.325806899993</v>
      </c>
      <c r="M29" s="4"/>
      <c r="N29" s="32">
        <f t="shared" ref="N29:N39" si="18">IF(H29=0,0,L29/H29)</f>
        <v>-0.77895430957919165</v>
      </c>
      <c r="O29" s="10"/>
      <c r="P29" s="22">
        <f>SUM(OSRRefP22x_0)</f>
        <v>217530.89999999997</v>
      </c>
      <c r="Q29" s="22"/>
      <c r="R29" s="32">
        <f t="shared" ref="R29:R39" si="19">IF(P$12=0,0,P29/P$12)</f>
        <v>77.110725907650405</v>
      </c>
      <c r="S29" s="22"/>
      <c r="T29" s="22">
        <f>SUM(OSRRefT22x_0)</f>
        <v>495847.343413</v>
      </c>
      <c r="U29" s="22"/>
      <c r="V29" s="32">
        <f t="shared" ref="V29:V39" si="20">IF(T$12=0,0,T29/T$12)</f>
        <v>1.0760552677034121</v>
      </c>
      <c r="W29" s="4"/>
      <c r="X29" s="22">
        <f t="shared" ref="X29:X39" si="21">+P29-T29</f>
        <v>-278316.44341300003</v>
      </c>
      <c r="Y29" s="4"/>
      <c r="Z29" s="32">
        <f t="shared" ref="Z29:Z39" si="22">IF(T29=0,0,X29/T29)</f>
        <v>-0.56129461438131645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7922.9018068999994</v>
      </c>
      <c r="I30" s="1"/>
      <c r="J30" s="5">
        <f t="shared" si="16"/>
        <v>7.7326779298262732E-2</v>
      </c>
      <c r="K30" s="1"/>
      <c r="L30" s="1">
        <f t="shared" si="17"/>
        <v>-7922.9018068999994</v>
      </c>
      <c r="M30" s="1"/>
      <c r="N30" s="5">
        <f t="shared" si="18"/>
        <v>-1</v>
      </c>
      <c r="O30" s="13"/>
      <c r="P30" s="1">
        <f>SUM(OSRRefP22_0x_0)</f>
        <v>35025.26</v>
      </c>
      <c r="Q30" s="1"/>
      <c r="R30" s="5">
        <f t="shared" si="19"/>
        <v>12.415814138148612</v>
      </c>
      <c r="S30" s="1"/>
      <c r="T30" s="1">
        <f>SUM(OSRRefT22_0x_0)</f>
        <v>69258.156413000004</v>
      </c>
      <c r="U30" s="1"/>
      <c r="V30" s="5">
        <f t="shared" si="20"/>
        <v>0.1502994924338272</v>
      </c>
      <c r="W30" s="1"/>
      <c r="X30" s="1">
        <f t="shared" si="21"/>
        <v>-34232.896413000002</v>
      </c>
      <c r="Y30" s="1"/>
      <c r="Z30" s="5">
        <f t="shared" si="22"/>
        <v>-0.49427963702733452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7"/>
      <c r="E31" s="2"/>
      <c r="F31" s="6">
        <f t="shared" si="15"/>
        <v>0</v>
      </c>
      <c r="G31" s="2"/>
      <c r="H31" s="7">
        <v>1146.1155759000001</v>
      </c>
      <c r="I31" s="2"/>
      <c r="J31" s="6">
        <f t="shared" si="16"/>
        <v>1.1185980635369901E-2</v>
      </c>
      <c r="K31" s="2"/>
      <c r="L31" s="7">
        <f t="shared" si="17"/>
        <v>-1146.1155759000001</v>
      </c>
      <c r="M31" s="2"/>
      <c r="N31" s="6">
        <f t="shared" si="18"/>
        <v>-1</v>
      </c>
      <c r="O31" s="11"/>
      <c r="P31" s="7">
        <v>3909.68</v>
      </c>
      <c r="Q31" s="2"/>
      <c r="R31" s="6">
        <f t="shared" si="19"/>
        <v>1.3859100608999579</v>
      </c>
      <c r="S31" s="2"/>
      <c r="T31" s="7">
        <v>9902.2090470000003</v>
      </c>
      <c r="U31" s="2"/>
      <c r="V31" s="6">
        <f t="shared" si="20"/>
        <v>2.1489122304422084E-2</v>
      </c>
      <c r="W31" s="2"/>
      <c r="X31" s="7">
        <f t="shared" si="21"/>
        <v>-5992.529047</v>
      </c>
      <c r="Y31" s="2"/>
      <c r="Z31" s="6">
        <f t="shared" si="22"/>
        <v>-0.60517092888636936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5"/>
        <v>0</v>
      </c>
      <c r="G32" s="2"/>
      <c r="H32" s="7">
        <v>579.70138499999996</v>
      </c>
      <c r="I32" s="2"/>
      <c r="J32" s="6">
        <f t="shared" si="16"/>
        <v>5.6578312024204566E-3</v>
      </c>
      <c r="K32" s="2"/>
      <c r="L32" s="7">
        <f t="shared" si="17"/>
        <v>-579.70138499999996</v>
      </c>
      <c r="M32" s="2"/>
      <c r="N32" s="6">
        <f t="shared" si="18"/>
        <v>-1</v>
      </c>
      <c r="O32" s="11"/>
      <c r="P32" s="7">
        <v>830.67</v>
      </c>
      <c r="Q32" s="2"/>
      <c r="R32" s="6">
        <f t="shared" si="19"/>
        <v>0.29445732394665752</v>
      </c>
      <c r="S32" s="2"/>
      <c r="T32" s="7">
        <v>4043.0466099999999</v>
      </c>
      <c r="U32" s="2"/>
      <c r="V32" s="6">
        <f t="shared" si="20"/>
        <v>8.7739536372533917E-3</v>
      </c>
      <c r="W32" s="2"/>
      <c r="X32" s="7">
        <f t="shared" si="21"/>
        <v>-3212.3766099999998</v>
      </c>
      <c r="Y32" s="2"/>
      <c r="Z32" s="6">
        <f t="shared" si="22"/>
        <v>-0.79454355090900119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5"/>
        <v>0</v>
      </c>
      <c r="G33" s="2"/>
      <c r="H33" s="7">
        <v>3960</v>
      </c>
      <c r="I33" s="2"/>
      <c r="J33" s="6">
        <f t="shared" si="16"/>
        <v>3.8649228967401916E-2</v>
      </c>
      <c r="K33" s="2"/>
      <c r="L33" s="7">
        <f t="shared" si="17"/>
        <v>-3960</v>
      </c>
      <c r="M33" s="2"/>
      <c r="N33" s="6">
        <f t="shared" si="18"/>
        <v>-1</v>
      </c>
      <c r="O33" s="11"/>
      <c r="P33" s="7">
        <v>18067.72</v>
      </c>
      <c r="Q33" s="2"/>
      <c r="R33" s="6">
        <f t="shared" si="19"/>
        <v>6.4046763227485091</v>
      </c>
      <c r="S33" s="2"/>
      <c r="T33" s="7">
        <v>35640</v>
      </c>
      <c r="U33" s="2"/>
      <c r="V33" s="6">
        <f t="shared" si="20"/>
        <v>7.7343582153684559E-2</v>
      </c>
      <c r="W33" s="2"/>
      <c r="X33" s="7">
        <f t="shared" si="21"/>
        <v>-17572.28</v>
      </c>
      <c r="Y33" s="2"/>
      <c r="Z33" s="6">
        <f t="shared" si="22"/>
        <v>-0.49304938271604937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5"/>
        <v>0</v>
      </c>
      <c r="G34" s="2"/>
      <c r="H34" s="7">
        <v>81.471546000000004</v>
      </c>
      <c r="I34" s="2"/>
      <c r="J34" s="6">
        <f t="shared" si="16"/>
        <v>7.9515465547530745E-4</v>
      </c>
      <c r="K34" s="2"/>
      <c r="L34" s="7">
        <f t="shared" si="17"/>
        <v>-81.471546000000004</v>
      </c>
      <c r="M34" s="2"/>
      <c r="N34" s="6">
        <f t="shared" si="18"/>
        <v>-1</v>
      </c>
      <c r="O34" s="11"/>
      <c r="P34" s="7">
        <v>132.15</v>
      </c>
      <c r="Q34" s="2"/>
      <c r="R34" s="6">
        <f t="shared" si="19"/>
        <v>4.6844758278920387E-2</v>
      </c>
      <c r="S34" s="2"/>
      <c r="T34" s="7">
        <v>568.21195599999999</v>
      </c>
      <c r="U34" s="2"/>
      <c r="V34" s="6">
        <f t="shared" si="20"/>
        <v>1.2330961868572334E-3</v>
      </c>
      <c r="W34" s="2"/>
      <c r="X34" s="7">
        <f t="shared" si="21"/>
        <v>-436.06195600000001</v>
      </c>
      <c r="Y34" s="2"/>
      <c r="Z34" s="6">
        <f t="shared" si="22"/>
        <v>-0.76742833619643158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5"/>
        <v>0</v>
      </c>
      <c r="G35" s="2"/>
      <c r="H35" s="7">
        <v>865.05679999999995</v>
      </c>
      <c r="I35" s="2"/>
      <c r="J35" s="6">
        <f t="shared" si="16"/>
        <v>8.4428733164161624E-3</v>
      </c>
      <c r="K35" s="2"/>
      <c r="L35" s="7">
        <f t="shared" si="17"/>
        <v>-865.05679999999995</v>
      </c>
      <c r="M35" s="2"/>
      <c r="N35" s="6">
        <f t="shared" si="18"/>
        <v>-1</v>
      </c>
      <c r="O35" s="11"/>
      <c r="P35" s="7">
        <v>5525.49</v>
      </c>
      <c r="Q35" s="2"/>
      <c r="R35" s="6">
        <f t="shared" si="19"/>
        <v>1.9586851564327792</v>
      </c>
      <c r="S35" s="2"/>
      <c r="T35" s="7">
        <v>8248.2685999999994</v>
      </c>
      <c r="U35" s="2"/>
      <c r="V35" s="6">
        <f t="shared" si="20"/>
        <v>1.7899849609701368E-2</v>
      </c>
      <c r="W35" s="2"/>
      <c r="X35" s="7">
        <f t="shared" si="21"/>
        <v>-2722.7785999999996</v>
      </c>
      <c r="Y35" s="2"/>
      <c r="Z35" s="6">
        <f t="shared" si="22"/>
        <v>-0.33010304732316792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5"/>
        <v>0</v>
      </c>
      <c r="G36" s="2"/>
      <c r="H36" s="7">
        <v>0</v>
      </c>
      <c r="I36" s="2"/>
      <c r="J36" s="6">
        <f t="shared" si="16"/>
        <v>0</v>
      </c>
      <c r="K36" s="2"/>
      <c r="L36" s="7">
        <f t="shared" si="17"/>
        <v>0</v>
      </c>
      <c r="M36" s="2"/>
      <c r="N36" s="6">
        <f t="shared" si="18"/>
        <v>0</v>
      </c>
      <c r="O36" s="11"/>
      <c r="P36" s="7"/>
      <c r="Q36" s="2"/>
      <c r="R36" s="6">
        <f t="shared" si="19"/>
        <v>0</v>
      </c>
      <c r="S36" s="2"/>
      <c r="T36" s="7">
        <v>0</v>
      </c>
      <c r="U36" s="2"/>
      <c r="V36" s="6">
        <f t="shared" si="20"/>
        <v>0</v>
      </c>
      <c r="W36" s="2"/>
      <c r="X36" s="7">
        <f t="shared" si="21"/>
        <v>0</v>
      </c>
      <c r="Y36" s="2"/>
      <c r="Z36" s="6">
        <f t="shared" si="22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7"/>
      <c r="E37" s="2"/>
      <c r="F37" s="6">
        <f t="shared" si="15"/>
        <v>0</v>
      </c>
      <c r="G37" s="2"/>
      <c r="H37" s="7">
        <v>391.62</v>
      </c>
      <c r="I37" s="2"/>
      <c r="J37" s="6">
        <f t="shared" si="16"/>
        <v>3.8221745071247318E-3</v>
      </c>
      <c r="K37" s="2"/>
      <c r="L37" s="7">
        <f t="shared" si="17"/>
        <v>-391.62</v>
      </c>
      <c r="M37" s="2"/>
      <c r="N37" s="6">
        <f t="shared" si="18"/>
        <v>-1</v>
      </c>
      <c r="O37" s="11"/>
      <c r="P37" s="7">
        <v>3386</v>
      </c>
      <c r="Q37" s="2"/>
      <c r="R37" s="6">
        <f t="shared" si="19"/>
        <v>1.2002750778087357</v>
      </c>
      <c r="S37" s="2"/>
      <c r="T37" s="7">
        <v>3710.1350000000002</v>
      </c>
      <c r="U37" s="2"/>
      <c r="V37" s="6">
        <f t="shared" si="20"/>
        <v>8.0514907736745373E-3</v>
      </c>
      <c r="W37" s="2"/>
      <c r="X37" s="7">
        <f t="shared" si="21"/>
        <v>-324.13500000000022</v>
      </c>
      <c r="Y37" s="2"/>
      <c r="Z37" s="6">
        <f t="shared" si="22"/>
        <v>-8.7364745487697945E-2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7"/>
      <c r="E38" s="2"/>
      <c r="F38" s="6">
        <f t="shared" si="15"/>
        <v>0</v>
      </c>
      <c r="G38" s="2"/>
      <c r="H38" s="7">
        <v>723.93650000000002</v>
      </c>
      <c r="I38" s="2"/>
      <c r="J38" s="6">
        <f t="shared" si="16"/>
        <v>7.0655524106968577E-3</v>
      </c>
      <c r="K38" s="2"/>
      <c r="L38" s="7">
        <f t="shared" si="17"/>
        <v>-723.93650000000002</v>
      </c>
      <c r="M38" s="2"/>
      <c r="N38" s="6">
        <f t="shared" si="18"/>
        <v>-1</v>
      </c>
      <c r="O38" s="11"/>
      <c r="P38" s="7">
        <v>2447.1799999999998</v>
      </c>
      <c r="Q38" s="2"/>
      <c r="R38" s="6">
        <f t="shared" si="19"/>
        <v>0.86748055667808077</v>
      </c>
      <c r="S38" s="2"/>
      <c r="T38" s="7">
        <v>5571.2852000000003</v>
      </c>
      <c r="U38" s="2"/>
      <c r="V38" s="6">
        <f t="shared" si="20"/>
        <v>1.2090436435684819E-2</v>
      </c>
      <c r="W38" s="2"/>
      <c r="X38" s="7">
        <f t="shared" si="21"/>
        <v>-3124.1052000000004</v>
      </c>
      <c r="Y38" s="2"/>
      <c r="Z38" s="6">
        <f t="shared" si="22"/>
        <v>-0.56075126076834125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7"/>
      <c r="E39" s="2"/>
      <c r="F39" s="6">
        <f t="shared" si="15"/>
        <v>0</v>
      </c>
      <c r="G39" s="2"/>
      <c r="H39" s="7">
        <v>175</v>
      </c>
      <c r="I39" s="2"/>
      <c r="J39" s="6">
        <f t="shared" si="16"/>
        <v>1.7079836033574078E-3</v>
      </c>
      <c r="K39" s="2"/>
      <c r="L39" s="7">
        <f t="shared" si="17"/>
        <v>-175</v>
      </c>
      <c r="M39" s="2"/>
      <c r="N39" s="6">
        <f t="shared" si="18"/>
        <v>-1</v>
      </c>
      <c r="O39" s="11"/>
      <c r="P39" s="7">
        <v>726.37</v>
      </c>
      <c r="Q39" s="2"/>
      <c r="R39" s="6">
        <f t="shared" si="19"/>
        <v>0.25748488135497088</v>
      </c>
      <c r="S39" s="2"/>
      <c r="T39" s="7">
        <v>1575</v>
      </c>
      <c r="U39" s="2"/>
      <c r="V39" s="6">
        <f t="shared" si="20"/>
        <v>3.4179613325491915E-3</v>
      </c>
      <c r="W39" s="2"/>
      <c r="X39" s="7">
        <f t="shared" si="21"/>
        <v>-848.63</v>
      </c>
      <c r="Y39" s="2"/>
      <c r="Z39" s="6">
        <f t="shared" si="22"/>
        <v>-0.53881269841269841</v>
      </c>
    </row>
    <row r="40" spans="1:26" s="25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0</v>
      </c>
      <c r="E40" s="1"/>
      <c r="F40" s="5">
        <f t="shared" ref="F40:F50" si="23">IF(D$12=0,0,D40/D$12)</f>
        <v>0</v>
      </c>
      <c r="G40" s="1"/>
      <c r="H40" s="1">
        <f>SUM(OSRRefH22_1x_0)</f>
        <v>30391.413999999997</v>
      </c>
      <c r="I40" s="1"/>
      <c r="J40" s="5">
        <f t="shared" ref="J40:J50" si="24">IF(H$12=0,0,H40/H$12)</f>
        <v>0.29661735311341009</v>
      </c>
      <c r="K40" s="1"/>
      <c r="L40" s="1">
        <f t="shared" ref="L40:L50" si="25">+D40-H40</f>
        <v>-30391.413999999997</v>
      </c>
      <c r="M40" s="1"/>
      <c r="N40" s="5">
        <f t="shared" ref="N40:N50" si="26">IF(H40=0,0,L40/H40)</f>
        <v>-1</v>
      </c>
      <c r="O40" s="13"/>
      <c r="P40" s="1">
        <f>SUM(OSRRefP22_1x_0)</f>
        <v>41960.38</v>
      </c>
      <c r="Q40" s="1"/>
      <c r="R40" s="5">
        <f t="shared" ref="R40:R50" si="27">IF(P$12=0,0,P40/P$12)</f>
        <v>14.874187350674575</v>
      </c>
      <c r="S40" s="1"/>
      <c r="T40" s="1">
        <f>SUM(OSRRefT22_1x_0)</f>
        <v>210480.18700000001</v>
      </c>
      <c r="U40" s="1"/>
      <c r="V40" s="5">
        <f t="shared" ref="V40:V50" si="28">IF(T$12=0,0,T40/T$12)</f>
        <v>0.45677024789442733</v>
      </c>
      <c r="W40" s="1"/>
      <c r="X40" s="1">
        <f t="shared" ref="X40:X50" si="29">+P40-T40</f>
        <v>-168519.807</v>
      </c>
      <c r="Y40" s="1"/>
      <c r="Z40" s="5">
        <f t="shared" ref="Z40:Z50" si="30">IF(T40=0,0,X40/T40)</f>
        <v>-0.80064451387056201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23"/>
        <v>0</v>
      </c>
      <c r="G41" s="2"/>
      <c r="H41" s="7">
        <v>5287.7</v>
      </c>
      <c r="I41" s="2"/>
      <c r="J41" s="6">
        <f t="shared" si="24"/>
        <v>5.1607456568416941E-2</v>
      </c>
      <c r="K41" s="2"/>
      <c r="L41" s="7">
        <f t="shared" si="25"/>
        <v>-5287.7</v>
      </c>
      <c r="M41" s="2"/>
      <c r="N41" s="6">
        <f t="shared" si="26"/>
        <v>-1</v>
      </c>
      <c r="O41" s="11"/>
      <c r="P41" s="7"/>
      <c r="Q41" s="2"/>
      <c r="R41" s="6">
        <f t="shared" si="27"/>
        <v>0</v>
      </c>
      <c r="S41" s="2"/>
      <c r="T41" s="7">
        <v>51555.074999999997</v>
      </c>
      <c r="U41" s="2"/>
      <c r="V41" s="6">
        <f t="shared" si="28"/>
        <v>0.11188143037884032</v>
      </c>
      <c r="W41" s="2"/>
      <c r="X41" s="7">
        <f t="shared" si="29"/>
        <v>-51555.074999999997</v>
      </c>
      <c r="Y41" s="2"/>
      <c r="Z41" s="6">
        <f t="shared" si="30"/>
        <v>-1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/>
      <c r="E42" s="2"/>
      <c r="F42" s="6">
        <f t="shared" si="23"/>
        <v>0</v>
      </c>
      <c r="G42" s="2"/>
      <c r="H42" s="7">
        <v>4043.52</v>
      </c>
      <c r="I42" s="2"/>
      <c r="J42" s="6">
        <f t="shared" si="24"/>
        <v>3.9464376341987115E-2</v>
      </c>
      <c r="K42" s="2"/>
      <c r="L42" s="7">
        <f t="shared" si="25"/>
        <v>-4043.52</v>
      </c>
      <c r="M42" s="2"/>
      <c r="N42" s="6">
        <f t="shared" si="26"/>
        <v>-1</v>
      </c>
      <c r="O42" s="11"/>
      <c r="P42" s="7">
        <v>39828.42</v>
      </c>
      <c r="Q42" s="2"/>
      <c r="R42" s="6">
        <f t="shared" si="27"/>
        <v>14.118446519344063</v>
      </c>
      <c r="S42" s="2"/>
      <c r="T42" s="7">
        <v>37477.440000000002</v>
      </c>
      <c r="U42" s="2"/>
      <c r="V42" s="6">
        <f t="shared" si="28"/>
        <v>8.1331073500274534E-2</v>
      </c>
      <c r="W42" s="2"/>
      <c r="X42" s="7">
        <f t="shared" si="29"/>
        <v>2350.9799999999959</v>
      </c>
      <c r="Y42" s="2"/>
      <c r="Z42" s="6">
        <f t="shared" si="30"/>
        <v>6.2730538692077037E-2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3"/>
        <v>0</v>
      </c>
      <c r="G43" s="2"/>
      <c r="H43" s="7">
        <v>0</v>
      </c>
      <c r="I43" s="2"/>
      <c r="J43" s="6">
        <f t="shared" si="24"/>
        <v>0</v>
      </c>
      <c r="K43" s="2"/>
      <c r="L43" s="7">
        <f t="shared" si="25"/>
        <v>0</v>
      </c>
      <c r="M43" s="2"/>
      <c r="N43" s="6">
        <f t="shared" si="26"/>
        <v>0</v>
      </c>
      <c r="O43" s="11"/>
      <c r="P43" s="7"/>
      <c r="Q43" s="2"/>
      <c r="R43" s="6">
        <f t="shared" si="27"/>
        <v>0</v>
      </c>
      <c r="S43" s="2"/>
      <c r="T43" s="7">
        <v>0</v>
      </c>
      <c r="U43" s="2"/>
      <c r="V43" s="6">
        <f t="shared" si="28"/>
        <v>0</v>
      </c>
      <c r="W43" s="2"/>
      <c r="X43" s="7">
        <f t="shared" si="29"/>
        <v>0</v>
      </c>
      <c r="Y43" s="2"/>
      <c r="Z43" s="6">
        <f t="shared" si="30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3"/>
        <v>0</v>
      </c>
      <c r="G44" s="2"/>
      <c r="H44" s="7">
        <v>4917.2299999999996</v>
      </c>
      <c r="I44" s="2"/>
      <c r="J44" s="6">
        <f t="shared" si="24"/>
        <v>4.7991704079640832E-2</v>
      </c>
      <c r="K44" s="2"/>
      <c r="L44" s="7">
        <f t="shared" si="25"/>
        <v>-4917.2299999999996</v>
      </c>
      <c r="M44" s="2"/>
      <c r="N44" s="6">
        <f t="shared" si="26"/>
        <v>-1</v>
      </c>
      <c r="O44" s="11"/>
      <c r="P44" s="7"/>
      <c r="Q44" s="2"/>
      <c r="R44" s="6">
        <f t="shared" si="27"/>
        <v>0</v>
      </c>
      <c r="S44" s="2"/>
      <c r="T44" s="7">
        <v>32699.8</v>
      </c>
      <c r="U44" s="2"/>
      <c r="V44" s="6">
        <f t="shared" si="28"/>
        <v>7.0962953639423523E-2</v>
      </c>
      <c r="W44" s="2"/>
      <c r="X44" s="7">
        <f t="shared" si="29"/>
        <v>-32699.8</v>
      </c>
      <c r="Y44" s="2"/>
      <c r="Z44" s="6">
        <f t="shared" si="30"/>
        <v>-1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3"/>
        <v>0</v>
      </c>
      <c r="G45" s="2"/>
      <c r="H45" s="7">
        <v>6523.82</v>
      </c>
      <c r="I45" s="2"/>
      <c r="J45" s="6">
        <f t="shared" si="24"/>
        <v>6.3671871950029282E-2</v>
      </c>
      <c r="K45" s="2"/>
      <c r="L45" s="7">
        <f t="shared" si="25"/>
        <v>-6523.82</v>
      </c>
      <c r="M45" s="2"/>
      <c r="N45" s="6">
        <f t="shared" si="26"/>
        <v>-1</v>
      </c>
      <c r="O45" s="11"/>
      <c r="P45" s="7">
        <v>2131.96</v>
      </c>
      <c r="Q45" s="2"/>
      <c r="R45" s="6">
        <f t="shared" si="27"/>
        <v>0.75574083133051151</v>
      </c>
      <c r="S45" s="2"/>
      <c r="T45" s="7">
        <v>37649.241999999998</v>
      </c>
      <c r="U45" s="2"/>
      <c r="V45" s="6">
        <f t="shared" si="28"/>
        <v>8.1703906892563169E-2</v>
      </c>
      <c r="W45" s="2"/>
      <c r="X45" s="7">
        <f t="shared" si="29"/>
        <v>-35517.281999999999</v>
      </c>
      <c r="Y45" s="2"/>
      <c r="Z45" s="6">
        <f t="shared" si="30"/>
        <v>-0.9433730963295357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0</v>
      </c>
      <c r="I46" s="2"/>
      <c r="J46" s="6">
        <f t="shared" si="24"/>
        <v>0</v>
      </c>
      <c r="K46" s="2"/>
      <c r="L46" s="7">
        <f t="shared" si="25"/>
        <v>0</v>
      </c>
      <c r="M46" s="2"/>
      <c r="N46" s="6">
        <f t="shared" si="26"/>
        <v>0</v>
      </c>
      <c r="O46" s="11"/>
      <c r="P46" s="7"/>
      <c r="Q46" s="2"/>
      <c r="R46" s="6">
        <f t="shared" si="27"/>
        <v>0</v>
      </c>
      <c r="S46" s="2"/>
      <c r="T46" s="7">
        <v>0</v>
      </c>
      <c r="U46" s="2"/>
      <c r="V46" s="6">
        <f t="shared" si="28"/>
        <v>0</v>
      </c>
      <c r="W46" s="2"/>
      <c r="X46" s="7">
        <f t="shared" si="29"/>
        <v>0</v>
      </c>
      <c r="Y46" s="2"/>
      <c r="Z46" s="6">
        <f t="shared" si="30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3"/>
        <v>0</v>
      </c>
      <c r="G47" s="2"/>
      <c r="H47" s="7">
        <v>0</v>
      </c>
      <c r="I47" s="2"/>
      <c r="J47" s="6">
        <f t="shared" si="24"/>
        <v>0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>
        <v>0</v>
      </c>
      <c r="Q47" s="2"/>
      <c r="R47" s="6">
        <f t="shared" si="27"/>
        <v>0</v>
      </c>
      <c r="S47" s="2"/>
      <c r="T47" s="7">
        <v>756.6</v>
      </c>
      <c r="U47" s="2"/>
      <c r="V47" s="6">
        <f t="shared" si="28"/>
        <v>1.6419235201312497E-3</v>
      </c>
      <c r="W47" s="2"/>
      <c r="X47" s="7">
        <f t="shared" si="29"/>
        <v>-756.6</v>
      </c>
      <c r="Y47" s="2"/>
      <c r="Z47" s="6">
        <f t="shared" si="30"/>
        <v>-1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3"/>
        <v>0</v>
      </c>
      <c r="G48" s="2"/>
      <c r="H48" s="7">
        <v>9619.1440000000002</v>
      </c>
      <c r="I48" s="2"/>
      <c r="J48" s="6">
        <f t="shared" si="24"/>
        <v>9.3881944173335938E-2</v>
      </c>
      <c r="K48" s="2"/>
      <c r="L48" s="7">
        <f t="shared" si="25"/>
        <v>-9619.1440000000002</v>
      </c>
      <c r="M48" s="2"/>
      <c r="N48" s="6">
        <f t="shared" si="26"/>
        <v>-1</v>
      </c>
      <c r="O48" s="11"/>
      <c r="P48" s="7"/>
      <c r="Q48" s="2"/>
      <c r="R48" s="6">
        <f t="shared" si="27"/>
        <v>0</v>
      </c>
      <c r="S48" s="2"/>
      <c r="T48" s="7">
        <v>50342.03</v>
      </c>
      <c r="U48" s="2"/>
      <c r="V48" s="6">
        <f t="shared" si="28"/>
        <v>0.10924895996319452</v>
      </c>
      <c r="W48" s="2"/>
      <c r="X48" s="7">
        <f t="shared" si="29"/>
        <v>-50342.03</v>
      </c>
      <c r="Y48" s="2"/>
      <c r="Z48" s="6">
        <f t="shared" si="30"/>
        <v>-1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5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0</v>
      </c>
      <c r="E51" s="1"/>
      <c r="F51" s="5">
        <f t="shared" ref="F51:F59" si="31">IF(D$12=0,0,D51/D$12)</f>
        <v>0</v>
      </c>
      <c r="G51" s="1"/>
      <c r="H51" s="1">
        <f>SUM(OSRRefH22_2x_0)</f>
        <v>400</v>
      </c>
      <c r="I51" s="1"/>
      <c r="J51" s="5">
        <f t="shared" ref="J51:J59" si="32">IF(H$12=0,0,H51/H$12)</f>
        <v>3.9039625219597892E-3</v>
      </c>
      <c r="K51" s="1"/>
      <c r="L51" s="1">
        <f t="shared" ref="L51:L59" si="33">+D51-H51</f>
        <v>-400</v>
      </c>
      <c r="M51" s="1"/>
      <c r="N51" s="5">
        <f t="shared" ref="N51:N59" si="34">IF(H51=0,0,L51/H51)</f>
        <v>-1</v>
      </c>
      <c r="O51" s="13"/>
      <c r="P51" s="1">
        <f>SUM(OSRRefP22_2x_0)</f>
        <v>0</v>
      </c>
      <c r="Q51" s="1"/>
      <c r="R51" s="5">
        <f t="shared" ref="R51:R59" si="35">IF(P$12=0,0,P51/P$12)</f>
        <v>0</v>
      </c>
      <c r="S51" s="1"/>
      <c r="T51" s="1">
        <f>SUM(OSRRefT22_2x_0)</f>
        <v>2869</v>
      </c>
      <c r="U51" s="1"/>
      <c r="V51" s="5">
        <f t="shared" ref="V51:V59" si="36">IF(T$12=0,0,T51/T$12)</f>
        <v>6.2261149606880192E-3</v>
      </c>
      <c r="W51" s="1"/>
      <c r="X51" s="1">
        <f t="shared" ref="X51:X59" si="37">+P51-T51</f>
        <v>-2869</v>
      </c>
      <c r="Y51" s="1"/>
      <c r="Z51" s="5">
        <f t="shared" ref="Z51:Z59" si="38">IF(T51=0,0,X51/T51)</f>
        <v>-1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1"/>
        <v>0</v>
      </c>
      <c r="G52" s="2"/>
      <c r="H52" s="7">
        <v>400</v>
      </c>
      <c r="I52" s="2"/>
      <c r="J52" s="6">
        <f t="shared" si="32"/>
        <v>3.9039625219597892E-3</v>
      </c>
      <c r="K52" s="2"/>
      <c r="L52" s="7">
        <f t="shared" si="33"/>
        <v>-400</v>
      </c>
      <c r="M52" s="2"/>
      <c r="N52" s="6">
        <f t="shared" si="34"/>
        <v>-1</v>
      </c>
      <c r="O52" s="11"/>
      <c r="P52" s="7"/>
      <c r="Q52" s="2"/>
      <c r="R52" s="6">
        <f t="shared" si="35"/>
        <v>0</v>
      </c>
      <c r="S52" s="2"/>
      <c r="T52" s="7">
        <v>2869</v>
      </c>
      <c r="U52" s="2"/>
      <c r="V52" s="6">
        <f t="shared" si="36"/>
        <v>6.2261149606880192E-3</v>
      </c>
      <c r="W52" s="2"/>
      <c r="X52" s="7">
        <f t="shared" si="37"/>
        <v>-2869</v>
      </c>
      <c r="Y52" s="2"/>
      <c r="Z52" s="6">
        <f t="shared" si="38"/>
        <v>-1</v>
      </c>
    </row>
    <row r="53" spans="1:26" s="25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31"/>
        <v>0</v>
      </c>
      <c r="G53" s="1"/>
      <c r="H53" s="1">
        <f>SUM(OSRRefH22_3x_0)</f>
        <v>8</v>
      </c>
      <c r="I53" s="1"/>
      <c r="J53" s="5">
        <f t="shared" si="32"/>
        <v>7.8079250439195785E-5</v>
      </c>
      <c r="K53" s="1"/>
      <c r="L53" s="1">
        <f t="shared" si="33"/>
        <v>-8</v>
      </c>
      <c r="M53" s="1"/>
      <c r="N53" s="5">
        <f t="shared" si="34"/>
        <v>-1</v>
      </c>
      <c r="O53" s="13"/>
      <c r="P53" s="1">
        <f>SUM(OSRRefP22_3x_0)</f>
        <v>3.31</v>
      </c>
      <c r="Q53" s="1"/>
      <c r="R53" s="5">
        <f t="shared" si="35"/>
        <v>1.1733344676748126E-3</v>
      </c>
      <c r="S53" s="1"/>
      <c r="T53" s="1">
        <f>SUM(OSRRefT22_3x_0)</f>
        <v>72</v>
      </c>
      <c r="U53" s="1"/>
      <c r="V53" s="5">
        <f t="shared" si="36"/>
        <v>1.5624966091653446E-4</v>
      </c>
      <c r="W53" s="1"/>
      <c r="X53" s="1">
        <f t="shared" si="37"/>
        <v>-68.69</v>
      </c>
      <c r="Y53" s="1"/>
      <c r="Z53" s="5">
        <f t="shared" si="38"/>
        <v>-0.9540277777777777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31"/>
        <v>0</v>
      </c>
      <c r="G54" s="2"/>
      <c r="H54" s="7">
        <v>8</v>
      </c>
      <c r="I54" s="2"/>
      <c r="J54" s="6">
        <f t="shared" si="32"/>
        <v>7.8079250439195785E-5</v>
      </c>
      <c r="K54" s="2"/>
      <c r="L54" s="7">
        <f t="shared" si="33"/>
        <v>-8</v>
      </c>
      <c r="M54" s="2"/>
      <c r="N54" s="6">
        <f t="shared" si="34"/>
        <v>-1</v>
      </c>
      <c r="O54" s="11"/>
      <c r="P54" s="7">
        <v>3.31</v>
      </c>
      <c r="Q54" s="2"/>
      <c r="R54" s="6">
        <f t="shared" si="35"/>
        <v>1.1733344676748126E-3</v>
      </c>
      <c r="S54" s="2"/>
      <c r="T54" s="7">
        <v>72</v>
      </c>
      <c r="U54" s="2"/>
      <c r="V54" s="6">
        <f t="shared" si="36"/>
        <v>1.5624966091653446E-4</v>
      </c>
      <c r="W54" s="2"/>
      <c r="X54" s="7">
        <f t="shared" si="37"/>
        <v>-68.69</v>
      </c>
      <c r="Y54" s="2"/>
      <c r="Z54" s="6">
        <f t="shared" si="38"/>
        <v>-0.9540277777777777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224.95</v>
      </c>
      <c r="E55" s="1"/>
      <c r="F55" s="5">
        <f t="shared" si="31"/>
        <v>2.2371954251616111</v>
      </c>
      <c r="G55" s="1"/>
      <c r="H55" s="1">
        <f>SUM(OSRRefH22_4x_0)</f>
        <v>5538</v>
      </c>
      <c r="I55" s="1"/>
      <c r="J55" s="5">
        <f t="shared" si="32"/>
        <v>5.4050361116533281E-2</v>
      </c>
      <c r="K55" s="1"/>
      <c r="L55" s="1">
        <f t="shared" si="33"/>
        <v>-5313.05</v>
      </c>
      <c r="M55" s="1"/>
      <c r="N55" s="5">
        <f t="shared" si="34"/>
        <v>-0.95938064283134705</v>
      </c>
      <c r="O55" s="13"/>
      <c r="P55" s="1">
        <f>SUM(OSRRefP22_4x_0)</f>
        <v>1588.18</v>
      </c>
      <c r="Q55" s="1"/>
      <c r="R55" s="5">
        <f t="shared" si="35"/>
        <v>0.56298076582229117</v>
      </c>
      <c r="S55" s="1"/>
      <c r="T55" s="1">
        <f>SUM(OSRRefT22_4x_0)</f>
        <v>38364</v>
      </c>
      <c r="U55" s="1"/>
      <c r="V55" s="5">
        <f t="shared" si="36"/>
        <v>8.3255027658360112E-2</v>
      </c>
      <c r="W55" s="1"/>
      <c r="X55" s="1">
        <f t="shared" si="37"/>
        <v>-36775.82</v>
      </c>
      <c r="Y55" s="1"/>
      <c r="Z55" s="5">
        <f t="shared" si="38"/>
        <v>-0.95860233552288598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7">
        <v>224.95</v>
      </c>
      <c r="E56" s="2"/>
      <c r="F56" s="6">
        <f t="shared" si="31"/>
        <v>2.2371954251616111</v>
      </c>
      <c r="G56" s="2"/>
      <c r="H56" s="7">
        <v>5538</v>
      </c>
      <c r="I56" s="2"/>
      <c r="J56" s="6">
        <f t="shared" si="32"/>
        <v>5.4050361116533281E-2</v>
      </c>
      <c r="K56" s="2"/>
      <c r="L56" s="7">
        <f t="shared" si="33"/>
        <v>-5313.05</v>
      </c>
      <c r="M56" s="2"/>
      <c r="N56" s="6">
        <f t="shared" si="34"/>
        <v>-0.95938064283134705</v>
      </c>
      <c r="O56" s="11"/>
      <c r="P56" s="7">
        <v>1588.18</v>
      </c>
      <c r="Q56" s="2"/>
      <c r="R56" s="6">
        <f t="shared" si="35"/>
        <v>0.56298076582229117</v>
      </c>
      <c r="S56" s="2"/>
      <c r="T56" s="7">
        <v>38364</v>
      </c>
      <c r="U56" s="2"/>
      <c r="V56" s="6">
        <f t="shared" si="36"/>
        <v>8.3255027658360112E-2</v>
      </c>
      <c r="W56" s="2"/>
      <c r="X56" s="7">
        <f t="shared" si="37"/>
        <v>-36775.82</v>
      </c>
      <c r="Y56" s="2"/>
      <c r="Z56" s="6">
        <f t="shared" si="38"/>
        <v>-0.95860233552288598</v>
      </c>
    </row>
    <row r="57" spans="1:26" s="25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9152.09</v>
      </c>
      <c r="E57" s="1"/>
      <c r="F57" s="5">
        <f t="shared" si="31"/>
        <v>91.020288413724515</v>
      </c>
      <c r="G57" s="1"/>
      <c r="H57" s="1">
        <f>SUM(OSRRefH22_5x_0)</f>
        <v>8563</v>
      </c>
      <c r="I57" s="1"/>
      <c r="J57" s="5">
        <f t="shared" si="32"/>
        <v>8.3574077688854193E-2</v>
      </c>
      <c r="K57" s="1"/>
      <c r="L57" s="1">
        <f t="shared" si="33"/>
        <v>589.09000000000015</v>
      </c>
      <c r="M57" s="1"/>
      <c r="N57" s="5">
        <f t="shared" si="34"/>
        <v>6.8794814901319654E-2</v>
      </c>
      <c r="O57" s="13"/>
      <c r="P57" s="1">
        <f>SUM(OSRRefP22_5x_0)</f>
        <v>82550.09</v>
      </c>
      <c r="Q57" s="1"/>
      <c r="R57" s="5">
        <f t="shared" si="35"/>
        <v>29.262497252766725</v>
      </c>
      <c r="S57" s="1"/>
      <c r="T57" s="1">
        <f>SUM(OSRRefT22_5x_0)</f>
        <v>77515</v>
      </c>
      <c r="U57" s="1"/>
      <c r="V57" s="5">
        <f t="shared" si="36"/>
        <v>0.16821795091590513</v>
      </c>
      <c r="W57" s="1"/>
      <c r="X57" s="1">
        <f t="shared" si="37"/>
        <v>5035.0899999999965</v>
      </c>
      <c r="Y57" s="1"/>
      <c r="Z57" s="5">
        <f t="shared" si="38"/>
        <v>6.4956331032703304E-2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7">
        <v>5080.51</v>
      </c>
      <c r="E58" s="2"/>
      <c r="F58" s="6">
        <f t="shared" si="31"/>
        <v>50.527200397812038</v>
      </c>
      <c r="G58" s="2"/>
      <c r="H58" s="7"/>
      <c r="I58" s="2"/>
      <c r="J58" s="6">
        <f t="shared" si="32"/>
        <v>0</v>
      </c>
      <c r="K58" s="2"/>
      <c r="L58" s="7">
        <f t="shared" si="33"/>
        <v>5080.51</v>
      </c>
      <c r="M58" s="2"/>
      <c r="N58" s="6">
        <f t="shared" si="34"/>
        <v>0</v>
      </c>
      <c r="O58" s="11"/>
      <c r="P58" s="7">
        <v>45724.59</v>
      </c>
      <c r="Q58" s="2"/>
      <c r="R58" s="6">
        <f t="shared" si="35"/>
        <v>16.20853095688793</v>
      </c>
      <c r="S58" s="2"/>
      <c r="T58" s="7"/>
      <c r="U58" s="2"/>
      <c r="V58" s="6">
        <f t="shared" si="36"/>
        <v>0</v>
      </c>
      <c r="W58" s="2"/>
      <c r="X58" s="7">
        <f t="shared" si="37"/>
        <v>45724.59</v>
      </c>
      <c r="Y58" s="2"/>
      <c r="Z58" s="6">
        <f t="shared" si="38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4071.58</v>
      </c>
      <c r="E59" s="2"/>
      <c r="F59" s="6">
        <f t="shared" si="31"/>
        <v>40.493088015912484</v>
      </c>
      <c r="G59" s="2"/>
      <c r="H59" s="7">
        <v>8563</v>
      </c>
      <c r="I59" s="2"/>
      <c r="J59" s="6">
        <f t="shared" si="32"/>
        <v>8.3574077688854193E-2</v>
      </c>
      <c r="K59" s="2"/>
      <c r="L59" s="7">
        <f t="shared" si="33"/>
        <v>-4491.42</v>
      </c>
      <c r="M59" s="2"/>
      <c r="N59" s="6">
        <f t="shared" si="34"/>
        <v>-0.52451477285997894</v>
      </c>
      <c r="O59" s="11"/>
      <c r="P59" s="7">
        <v>36825.5</v>
      </c>
      <c r="Q59" s="2"/>
      <c r="R59" s="6">
        <f t="shared" si="35"/>
        <v>13.053966295878794</v>
      </c>
      <c r="S59" s="2"/>
      <c r="T59" s="7">
        <v>77515</v>
      </c>
      <c r="U59" s="2"/>
      <c r="V59" s="6">
        <f t="shared" si="36"/>
        <v>0.16821795091590513</v>
      </c>
      <c r="W59" s="2"/>
      <c r="X59" s="7">
        <f t="shared" si="37"/>
        <v>-40689.5</v>
      </c>
      <c r="Y59" s="2"/>
      <c r="Z59" s="6">
        <f t="shared" si="38"/>
        <v>-0.52492420821776431</v>
      </c>
    </row>
    <row r="60" spans="1:26" s="25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9">IF(D$12=0,0,D60/D$12)</f>
        <v>0</v>
      </c>
      <c r="G60" s="1"/>
      <c r="H60" s="1">
        <f>SUM(OSRRefH22_6x_0)</f>
        <v>0</v>
      </c>
      <c r="I60" s="1"/>
      <c r="J60" s="5">
        <f t="shared" ref="J60:J78" si="40">IF(H$12=0,0,H60/H$12)</f>
        <v>0</v>
      </c>
      <c r="K60" s="1"/>
      <c r="L60" s="1">
        <f t="shared" ref="L60:L78" si="41">+D60-H60</f>
        <v>0</v>
      </c>
      <c r="M60" s="1"/>
      <c r="N60" s="5">
        <f t="shared" ref="N60:N78" si="42">IF(H60=0,0,L60/H60)</f>
        <v>0</v>
      </c>
      <c r="O60" s="13"/>
      <c r="P60" s="1">
        <f>SUM(OSRRefP22_6x_0)</f>
        <v>0</v>
      </c>
      <c r="Q60" s="1"/>
      <c r="R60" s="5">
        <f t="shared" ref="R60:R78" si="43">IF(P$12=0,0,P60/P$12)</f>
        <v>0</v>
      </c>
      <c r="S60" s="1"/>
      <c r="T60" s="1">
        <f>SUM(OSRRefT22_6x_0)</f>
        <v>50</v>
      </c>
      <c r="U60" s="1"/>
      <c r="V60" s="5">
        <f t="shared" ref="V60:V78" si="44">IF(T$12=0,0,T60/T$12)</f>
        <v>1.085067089698156E-4</v>
      </c>
      <c r="W60" s="1"/>
      <c r="X60" s="1">
        <f t="shared" ref="X60:X78" si="45">+P60-T60</f>
        <v>-50</v>
      </c>
      <c r="Y60" s="1"/>
      <c r="Z60" s="5">
        <f t="shared" ref="Z60:Z78" si="46">IF(T60=0,0,X60/T60)</f>
        <v>-1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9"/>
        <v>0</v>
      </c>
      <c r="G61" s="2"/>
      <c r="H61" s="7"/>
      <c r="I61" s="2"/>
      <c r="J61" s="6">
        <f t="shared" si="40"/>
        <v>0</v>
      </c>
      <c r="K61" s="2"/>
      <c r="L61" s="7">
        <f t="shared" si="41"/>
        <v>0</v>
      </c>
      <c r="M61" s="2"/>
      <c r="N61" s="6">
        <f t="shared" si="42"/>
        <v>0</v>
      </c>
      <c r="O61" s="11"/>
      <c r="P61" s="7"/>
      <c r="Q61" s="2"/>
      <c r="R61" s="6">
        <f t="shared" si="43"/>
        <v>0</v>
      </c>
      <c r="S61" s="2"/>
      <c r="T61" s="7">
        <v>50</v>
      </c>
      <c r="U61" s="2"/>
      <c r="V61" s="6">
        <f t="shared" si="44"/>
        <v>1.085067089698156E-4</v>
      </c>
      <c r="W61" s="2"/>
      <c r="X61" s="7">
        <f t="shared" si="45"/>
        <v>-50</v>
      </c>
      <c r="Y61" s="2"/>
      <c r="Z61" s="6">
        <f t="shared" si="46"/>
        <v>-1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0</v>
      </c>
      <c r="E62" s="1"/>
      <c r="F62" s="5">
        <f t="shared" si="39"/>
        <v>0</v>
      </c>
      <c r="G62" s="1"/>
      <c r="H62" s="1">
        <f>SUM(OSRRefH22_7x_0)</f>
        <v>146</v>
      </c>
      <c r="I62" s="1"/>
      <c r="J62" s="5">
        <f t="shared" si="40"/>
        <v>1.4249463205153231E-3</v>
      </c>
      <c r="K62" s="1"/>
      <c r="L62" s="1">
        <f t="shared" si="41"/>
        <v>-146</v>
      </c>
      <c r="M62" s="1"/>
      <c r="N62" s="5">
        <f t="shared" si="42"/>
        <v>-1</v>
      </c>
      <c r="O62" s="13"/>
      <c r="P62" s="1">
        <f>SUM(OSRRefP22_7x_0)</f>
        <v>440.95</v>
      </c>
      <c r="Q62" s="1"/>
      <c r="R62" s="5">
        <f t="shared" si="43"/>
        <v>0.15630871103359775</v>
      </c>
      <c r="S62" s="1"/>
      <c r="T62" s="1">
        <f>SUM(OSRRefT22_7x_0)</f>
        <v>876</v>
      </c>
      <c r="U62" s="1"/>
      <c r="V62" s="5">
        <f t="shared" si="44"/>
        <v>1.9010375411511694E-3</v>
      </c>
      <c r="W62" s="1"/>
      <c r="X62" s="1">
        <f t="shared" si="45"/>
        <v>-435.05</v>
      </c>
      <c r="Y62" s="1"/>
      <c r="Z62" s="5">
        <f t="shared" si="46"/>
        <v>-0.49663242009132419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7"/>
      <c r="E63" s="2"/>
      <c r="F63" s="6">
        <f t="shared" si="39"/>
        <v>0</v>
      </c>
      <c r="G63" s="2"/>
      <c r="H63" s="7">
        <v>146</v>
      </c>
      <c r="I63" s="2"/>
      <c r="J63" s="6">
        <f t="shared" si="40"/>
        <v>1.4249463205153231E-3</v>
      </c>
      <c r="K63" s="2"/>
      <c r="L63" s="7">
        <f t="shared" si="41"/>
        <v>-146</v>
      </c>
      <c r="M63" s="2"/>
      <c r="N63" s="6">
        <f t="shared" si="42"/>
        <v>-1</v>
      </c>
      <c r="O63" s="11"/>
      <c r="P63" s="7">
        <v>440.95</v>
      </c>
      <c r="Q63" s="2"/>
      <c r="R63" s="6">
        <f t="shared" si="43"/>
        <v>0.15630871103359775</v>
      </c>
      <c r="S63" s="2"/>
      <c r="T63" s="7">
        <v>876</v>
      </c>
      <c r="U63" s="2"/>
      <c r="V63" s="6">
        <f t="shared" si="44"/>
        <v>1.9010375411511694E-3</v>
      </c>
      <c r="W63" s="2"/>
      <c r="X63" s="7">
        <f t="shared" si="45"/>
        <v>-435.05</v>
      </c>
      <c r="Y63" s="2"/>
      <c r="Z63" s="6">
        <f t="shared" si="46"/>
        <v>-0.49663242009132419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41.93</v>
      </c>
      <c r="E64" s="1"/>
      <c r="F64" s="5">
        <f t="shared" si="39"/>
        <v>0.41700646444554951</v>
      </c>
      <c r="G64" s="1"/>
      <c r="H64" s="1">
        <f>SUM(OSRRefH22_8x_0)</f>
        <v>0</v>
      </c>
      <c r="I64" s="1"/>
      <c r="J64" s="5">
        <f t="shared" si="40"/>
        <v>0</v>
      </c>
      <c r="K64" s="1"/>
      <c r="L64" s="1">
        <f t="shared" si="41"/>
        <v>41.93</v>
      </c>
      <c r="M64" s="1"/>
      <c r="N64" s="5">
        <f t="shared" si="42"/>
        <v>0</v>
      </c>
      <c r="O64" s="13"/>
      <c r="P64" s="1">
        <f>SUM(OSRRefP22_8x_0)</f>
        <v>249.82</v>
      </c>
      <c r="Q64" s="1"/>
      <c r="R64" s="5">
        <f t="shared" si="43"/>
        <v>8.8556621363903826E-2</v>
      </c>
      <c r="S64" s="1"/>
      <c r="T64" s="1">
        <f>SUM(OSRRefT22_8x_0)</f>
        <v>0</v>
      </c>
      <c r="U64" s="1"/>
      <c r="V64" s="5">
        <f t="shared" si="44"/>
        <v>0</v>
      </c>
      <c r="W64" s="1"/>
      <c r="X64" s="1">
        <f t="shared" si="45"/>
        <v>249.82</v>
      </c>
      <c r="Y64" s="1"/>
      <c r="Z64" s="5">
        <f t="shared" si="46"/>
        <v>0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7">
        <v>41.93</v>
      </c>
      <c r="E65" s="2"/>
      <c r="F65" s="6">
        <f t="shared" si="39"/>
        <v>0.41700646444554951</v>
      </c>
      <c r="G65" s="2"/>
      <c r="H65" s="7"/>
      <c r="I65" s="2"/>
      <c r="J65" s="6">
        <f t="shared" si="40"/>
        <v>0</v>
      </c>
      <c r="K65" s="2"/>
      <c r="L65" s="7">
        <f t="shared" si="41"/>
        <v>41.93</v>
      </c>
      <c r="M65" s="2"/>
      <c r="N65" s="6">
        <f t="shared" si="42"/>
        <v>0</v>
      </c>
      <c r="O65" s="11"/>
      <c r="P65" s="7">
        <v>249.82</v>
      </c>
      <c r="Q65" s="2"/>
      <c r="R65" s="6">
        <f t="shared" si="43"/>
        <v>8.8556621363903826E-2</v>
      </c>
      <c r="S65" s="2"/>
      <c r="T65" s="7"/>
      <c r="U65" s="2"/>
      <c r="V65" s="6">
        <f t="shared" si="44"/>
        <v>0</v>
      </c>
      <c r="W65" s="2"/>
      <c r="X65" s="7">
        <f t="shared" si="45"/>
        <v>249.82</v>
      </c>
      <c r="Y65" s="2"/>
      <c r="Z65" s="6">
        <f t="shared" si="46"/>
        <v>0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646.37</v>
      </c>
      <c r="E66" s="1"/>
      <c r="F66" s="5">
        <f t="shared" si="39"/>
        <v>6.4283441074092496</v>
      </c>
      <c r="G66" s="1"/>
      <c r="H66" s="1">
        <f>SUM(OSRRefH22_9x_0)</f>
        <v>0</v>
      </c>
      <c r="I66" s="1"/>
      <c r="J66" s="5">
        <f t="shared" si="40"/>
        <v>0</v>
      </c>
      <c r="K66" s="1"/>
      <c r="L66" s="1">
        <f t="shared" si="41"/>
        <v>646.37</v>
      </c>
      <c r="M66" s="1"/>
      <c r="N66" s="5">
        <f t="shared" si="42"/>
        <v>0</v>
      </c>
      <c r="O66" s="13"/>
      <c r="P66" s="1">
        <f>SUM(OSRRefP22_9x_0)</f>
        <v>3434.86</v>
      </c>
      <c r="Q66" s="1"/>
      <c r="R66" s="5">
        <f t="shared" si="43"/>
        <v>1.21759505427115</v>
      </c>
      <c r="S66" s="1"/>
      <c r="T66" s="1">
        <f>SUM(OSRRefT22_9x_0)</f>
        <v>3150</v>
      </c>
      <c r="U66" s="1"/>
      <c r="V66" s="5">
        <f t="shared" si="44"/>
        <v>6.835922665098383E-3</v>
      </c>
      <c r="W66" s="1"/>
      <c r="X66" s="1">
        <f t="shared" si="45"/>
        <v>284.86000000000013</v>
      </c>
      <c r="Y66" s="1"/>
      <c r="Z66" s="5">
        <f t="shared" si="46"/>
        <v>9.0431746031746071E-2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>
        <v>646.37</v>
      </c>
      <c r="E67" s="2"/>
      <c r="F67" s="6">
        <f t="shared" si="39"/>
        <v>6.4283441074092496</v>
      </c>
      <c r="G67" s="2"/>
      <c r="H67" s="7"/>
      <c r="I67" s="2"/>
      <c r="J67" s="6">
        <f t="shared" si="40"/>
        <v>0</v>
      </c>
      <c r="K67" s="2"/>
      <c r="L67" s="7">
        <f t="shared" si="41"/>
        <v>646.37</v>
      </c>
      <c r="M67" s="2"/>
      <c r="N67" s="6">
        <f t="shared" si="42"/>
        <v>0</v>
      </c>
      <c r="O67" s="11"/>
      <c r="P67" s="7">
        <v>3434.86</v>
      </c>
      <c r="Q67" s="2"/>
      <c r="R67" s="6">
        <f t="shared" si="43"/>
        <v>1.21759505427115</v>
      </c>
      <c r="S67" s="2"/>
      <c r="T67" s="7">
        <v>3150</v>
      </c>
      <c r="U67" s="2"/>
      <c r="V67" s="6">
        <f t="shared" si="44"/>
        <v>6.835922665098383E-3</v>
      </c>
      <c r="W67" s="2"/>
      <c r="X67" s="7">
        <f t="shared" si="45"/>
        <v>284.86000000000013</v>
      </c>
      <c r="Y67" s="2"/>
      <c r="Z67" s="6">
        <f t="shared" si="46"/>
        <v>9.0431746031746071E-2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243.54</v>
      </c>
      <c r="E68" s="1"/>
      <c r="F68" s="5">
        <f t="shared" si="39"/>
        <v>2.4220785678766781</v>
      </c>
      <c r="G68" s="1"/>
      <c r="H68" s="1">
        <f>SUM(OSRRefH22_10x_0)</f>
        <v>270</v>
      </c>
      <c r="I68" s="1"/>
      <c r="J68" s="5">
        <f t="shared" si="40"/>
        <v>2.6351747023228575E-3</v>
      </c>
      <c r="K68" s="1"/>
      <c r="L68" s="1">
        <f t="shared" si="41"/>
        <v>-26.460000000000008</v>
      </c>
      <c r="M68" s="1"/>
      <c r="N68" s="5">
        <f t="shared" si="42"/>
        <v>-9.8000000000000032E-2</v>
      </c>
      <c r="O68" s="13"/>
      <c r="P68" s="1">
        <f>SUM(OSRRefP22_10x_0)</f>
        <v>2191.86</v>
      </c>
      <c r="Q68" s="1"/>
      <c r="R68" s="5">
        <f t="shared" si="43"/>
        <v>0.77697428589659057</v>
      </c>
      <c r="S68" s="1"/>
      <c r="T68" s="1">
        <f>SUM(OSRRefT22_10x_0)</f>
        <v>2430</v>
      </c>
      <c r="U68" s="1"/>
      <c r="V68" s="5">
        <f t="shared" si="44"/>
        <v>5.273426055933038E-3</v>
      </c>
      <c r="W68" s="1"/>
      <c r="X68" s="1">
        <f t="shared" si="45"/>
        <v>-238.13999999999987</v>
      </c>
      <c r="Y68" s="1"/>
      <c r="Z68" s="5">
        <f t="shared" si="46"/>
        <v>-9.7999999999999948E-2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7">
        <v>243.54</v>
      </c>
      <c r="E69" s="2"/>
      <c r="F69" s="6">
        <f t="shared" si="39"/>
        <v>2.4220785678766781</v>
      </c>
      <c r="G69" s="2"/>
      <c r="H69" s="7">
        <v>270</v>
      </c>
      <c r="I69" s="2"/>
      <c r="J69" s="6">
        <f t="shared" si="40"/>
        <v>2.6351747023228575E-3</v>
      </c>
      <c r="K69" s="2"/>
      <c r="L69" s="7">
        <f t="shared" si="41"/>
        <v>-26.460000000000008</v>
      </c>
      <c r="M69" s="2"/>
      <c r="N69" s="6">
        <f t="shared" si="42"/>
        <v>-9.8000000000000032E-2</v>
      </c>
      <c r="O69" s="11"/>
      <c r="P69" s="7">
        <v>2191.86</v>
      </c>
      <c r="Q69" s="2"/>
      <c r="R69" s="6">
        <f t="shared" si="43"/>
        <v>0.77697428589659057</v>
      </c>
      <c r="S69" s="2"/>
      <c r="T69" s="7">
        <v>2430</v>
      </c>
      <c r="U69" s="2"/>
      <c r="V69" s="6">
        <f t="shared" si="44"/>
        <v>5.273426055933038E-3</v>
      </c>
      <c r="W69" s="2"/>
      <c r="X69" s="7">
        <f t="shared" si="45"/>
        <v>-238.13999999999987</v>
      </c>
      <c r="Y69" s="2"/>
      <c r="Z69" s="6">
        <f t="shared" si="46"/>
        <v>-9.7999999999999948E-2</v>
      </c>
    </row>
    <row r="70" spans="1:26" s="25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4044</v>
      </c>
      <c r="E70" s="1"/>
      <c r="F70" s="5">
        <f t="shared" si="39"/>
        <v>40.218796618597715</v>
      </c>
      <c r="G70" s="1"/>
      <c r="H70" s="1">
        <f>SUM(OSRRefH22_11x_0)</f>
        <v>4044</v>
      </c>
      <c r="I70" s="1"/>
      <c r="J70" s="5">
        <f t="shared" si="40"/>
        <v>3.9469061097013466E-2</v>
      </c>
      <c r="K70" s="1"/>
      <c r="L70" s="1">
        <f t="shared" si="41"/>
        <v>0</v>
      </c>
      <c r="M70" s="1"/>
      <c r="N70" s="5">
        <f t="shared" si="42"/>
        <v>0</v>
      </c>
      <c r="O70" s="13"/>
      <c r="P70" s="1">
        <f>SUM(OSRRefP22_11x_0)</f>
        <v>36133.85</v>
      </c>
      <c r="Q70" s="1"/>
      <c r="R70" s="5">
        <f t="shared" si="43"/>
        <v>12.808789019574478</v>
      </c>
      <c r="S70" s="1"/>
      <c r="T70" s="1">
        <f>SUM(OSRRefT22_11x_0)</f>
        <v>36396</v>
      </c>
      <c r="U70" s="1"/>
      <c r="V70" s="5">
        <f t="shared" si="44"/>
        <v>7.8984203593308169E-2</v>
      </c>
      <c r="W70" s="1"/>
      <c r="X70" s="1">
        <f t="shared" si="45"/>
        <v>-262.15000000000146</v>
      </c>
      <c r="Y70" s="1"/>
      <c r="Z70" s="5">
        <f t="shared" si="46"/>
        <v>-7.2027145840202617E-3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7">
        <v>4044</v>
      </c>
      <c r="E71" s="2"/>
      <c r="F71" s="6">
        <f t="shared" si="39"/>
        <v>40.218796618597715</v>
      </c>
      <c r="G71" s="2"/>
      <c r="H71" s="7">
        <v>4044</v>
      </c>
      <c r="I71" s="2"/>
      <c r="J71" s="6">
        <f t="shared" si="40"/>
        <v>3.9469061097013466E-2</v>
      </c>
      <c r="K71" s="2"/>
      <c r="L71" s="7">
        <f t="shared" si="41"/>
        <v>0</v>
      </c>
      <c r="M71" s="2"/>
      <c r="N71" s="6">
        <f t="shared" si="42"/>
        <v>0</v>
      </c>
      <c r="O71" s="11"/>
      <c r="P71" s="7">
        <v>36133.85</v>
      </c>
      <c r="Q71" s="2"/>
      <c r="R71" s="6">
        <f t="shared" si="43"/>
        <v>12.808789019574478</v>
      </c>
      <c r="S71" s="2"/>
      <c r="T71" s="7">
        <v>36396</v>
      </c>
      <c r="U71" s="2"/>
      <c r="V71" s="6">
        <f t="shared" si="44"/>
        <v>7.8984203593308169E-2</v>
      </c>
      <c r="W71" s="2"/>
      <c r="X71" s="7">
        <f t="shared" si="45"/>
        <v>-262.15000000000146</v>
      </c>
      <c r="Y71" s="2"/>
      <c r="Z71" s="6">
        <f t="shared" si="46"/>
        <v>-7.2027145840202617E-3</v>
      </c>
    </row>
    <row r="72" spans="1:26" s="25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0</v>
      </c>
      <c r="E72" s="1"/>
      <c r="F72" s="5">
        <f t="shared" si="39"/>
        <v>0</v>
      </c>
      <c r="G72" s="1"/>
      <c r="H72" s="1">
        <f>SUM(OSRRefH22_12x_0)</f>
        <v>0</v>
      </c>
      <c r="I72" s="1"/>
      <c r="J72" s="5">
        <f t="shared" si="40"/>
        <v>0</v>
      </c>
      <c r="K72" s="1"/>
      <c r="L72" s="1">
        <f t="shared" si="41"/>
        <v>0</v>
      </c>
      <c r="M72" s="1"/>
      <c r="N72" s="5">
        <f t="shared" si="42"/>
        <v>0</v>
      </c>
      <c r="O72" s="13"/>
      <c r="P72" s="1">
        <f>SUM(OSRRefP22_12x_0)</f>
        <v>0</v>
      </c>
      <c r="Q72" s="1"/>
      <c r="R72" s="5">
        <f t="shared" si="43"/>
        <v>0</v>
      </c>
      <c r="S72" s="1"/>
      <c r="T72" s="1">
        <f>SUM(OSRRefT22_12x_0)</f>
        <v>0</v>
      </c>
      <c r="U72" s="1"/>
      <c r="V72" s="5">
        <f t="shared" si="44"/>
        <v>0</v>
      </c>
      <c r="W72" s="1"/>
      <c r="X72" s="1">
        <f t="shared" si="45"/>
        <v>0</v>
      </c>
      <c r="Y72" s="1"/>
      <c r="Z72" s="5">
        <f t="shared" si="46"/>
        <v>0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/>
      <c r="E73" s="2"/>
      <c r="F73" s="6">
        <f t="shared" si="39"/>
        <v>0</v>
      </c>
      <c r="G73" s="2"/>
      <c r="H73" s="7">
        <v>0</v>
      </c>
      <c r="I73" s="2"/>
      <c r="J73" s="6">
        <f t="shared" si="40"/>
        <v>0</v>
      </c>
      <c r="K73" s="2"/>
      <c r="L73" s="7">
        <f t="shared" si="41"/>
        <v>0</v>
      </c>
      <c r="M73" s="2"/>
      <c r="N73" s="6">
        <f t="shared" si="42"/>
        <v>0</v>
      </c>
      <c r="O73" s="11"/>
      <c r="P73" s="7"/>
      <c r="Q73" s="2"/>
      <c r="R73" s="6">
        <f t="shared" si="43"/>
        <v>0</v>
      </c>
      <c r="S73" s="2"/>
      <c r="T73" s="7">
        <v>0</v>
      </c>
      <c r="U73" s="2"/>
      <c r="V73" s="6">
        <f t="shared" si="44"/>
        <v>0</v>
      </c>
      <c r="W73" s="2"/>
      <c r="X73" s="7">
        <f t="shared" si="45"/>
        <v>0</v>
      </c>
      <c r="Y73" s="2"/>
      <c r="Z73" s="6">
        <f t="shared" si="46"/>
        <v>0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426.45</v>
      </c>
      <c r="E74" s="1"/>
      <c r="F74" s="5">
        <f t="shared" si="39"/>
        <v>4.241173545499751</v>
      </c>
      <c r="G74" s="1"/>
      <c r="H74" s="1">
        <f>SUM(OSRRefH22_13x_0)</f>
        <v>435</v>
      </c>
      <c r="I74" s="1"/>
      <c r="J74" s="5">
        <f t="shared" si="40"/>
        <v>4.2455592426312704E-3</v>
      </c>
      <c r="K74" s="1"/>
      <c r="L74" s="1">
        <f t="shared" si="41"/>
        <v>-8.5500000000000114</v>
      </c>
      <c r="M74" s="1"/>
      <c r="N74" s="5">
        <f t="shared" si="42"/>
        <v>-1.965517241379313E-2</v>
      </c>
      <c r="O74" s="13"/>
      <c r="P74" s="1">
        <f>SUM(OSRRefP22_13x_0)</f>
        <v>2826.3</v>
      </c>
      <c r="Q74" s="1"/>
      <c r="R74" s="5">
        <f t="shared" si="43"/>
        <v>1.0018716634408831</v>
      </c>
      <c r="S74" s="1"/>
      <c r="T74" s="1">
        <f>SUM(OSRRefT22_13x_0)</f>
        <v>3507</v>
      </c>
      <c r="U74" s="1"/>
      <c r="V74" s="5">
        <f t="shared" si="44"/>
        <v>7.6106605671428665E-3</v>
      </c>
      <c r="W74" s="1"/>
      <c r="X74" s="1">
        <f t="shared" si="45"/>
        <v>-680.69999999999982</v>
      </c>
      <c r="Y74" s="1"/>
      <c r="Z74" s="5">
        <f t="shared" si="46"/>
        <v>-0.1940975192472198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39"/>
        <v>0</v>
      </c>
      <c r="G75" s="2"/>
      <c r="H75" s="7"/>
      <c r="I75" s="2"/>
      <c r="J75" s="6">
        <f t="shared" si="40"/>
        <v>0</v>
      </c>
      <c r="K75" s="2"/>
      <c r="L75" s="7">
        <f t="shared" si="41"/>
        <v>0</v>
      </c>
      <c r="M75" s="2"/>
      <c r="N75" s="6">
        <f t="shared" si="42"/>
        <v>0</v>
      </c>
      <c r="O75" s="11"/>
      <c r="P75" s="7"/>
      <c r="Q75" s="2"/>
      <c r="R75" s="6">
        <f t="shared" si="43"/>
        <v>0</v>
      </c>
      <c r="S75" s="2"/>
      <c r="T75" s="7">
        <v>43</v>
      </c>
      <c r="U75" s="2"/>
      <c r="V75" s="6">
        <f t="shared" si="44"/>
        <v>9.3315769714041416E-5</v>
      </c>
      <c r="W75" s="2"/>
      <c r="X75" s="7">
        <f t="shared" si="45"/>
        <v>-43</v>
      </c>
      <c r="Y75" s="2"/>
      <c r="Z75" s="6">
        <f t="shared" si="46"/>
        <v>-1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437</v>
      </c>
      <c r="U76" s="2"/>
      <c r="V76" s="6">
        <f t="shared" si="44"/>
        <v>9.4834863639618836E-4</v>
      </c>
      <c r="W76" s="2"/>
      <c r="X76" s="7">
        <f t="shared" si="45"/>
        <v>-437</v>
      </c>
      <c r="Y76" s="2"/>
      <c r="Z76" s="6">
        <f t="shared" si="46"/>
        <v>-1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>
        <v>301.45</v>
      </c>
      <c r="E77" s="2"/>
      <c r="F77" s="6">
        <f t="shared" si="39"/>
        <v>2.9980109398309298</v>
      </c>
      <c r="G77" s="2"/>
      <c r="H77" s="7"/>
      <c r="I77" s="2"/>
      <c r="J77" s="6">
        <f t="shared" si="40"/>
        <v>0</v>
      </c>
      <c r="K77" s="2"/>
      <c r="L77" s="7">
        <f t="shared" si="41"/>
        <v>301.45</v>
      </c>
      <c r="M77" s="2"/>
      <c r="N77" s="6">
        <f t="shared" si="42"/>
        <v>0</v>
      </c>
      <c r="O77" s="11"/>
      <c r="P77" s="7">
        <v>1258.05</v>
      </c>
      <c r="Q77" s="2"/>
      <c r="R77" s="6">
        <f t="shared" si="43"/>
        <v>0.44595571814450086</v>
      </c>
      <c r="S77" s="2"/>
      <c r="T77" s="7">
        <v>231</v>
      </c>
      <c r="U77" s="2"/>
      <c r="V77" s="6">
        <f t="shared" si="44"/>
        <v>5.0130099544054812E-4</v>
      </c>
      <c r="W77" s="2"/>
      <c r="X77" s="7">
        <f t="shared" si="45"/>
        <v>1027.05</v>
      </c>
      <c r="Y77" s="2"/>
      <c r="Z77" s="6">
        <f t="shared" si="46"/>
        <v>4.4461038961038959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125</v>
      </c>
      <c r="E78" s="2"/>
      <c r="F78" s="6">
        <f t="shared" si="39"/>
        <v>1.2431626056688214</v>
      </c>
      <c r="G78" s="2"/>
      <c r="H78" s="7">
        <v>435</v>
      </c>
      <c r="I78" s="2"/>
      <c r="J78" s="6">
        <f t="shared" si="40"/>
        <v>4.2455592426312704E-3</v>
      </c>
      <c r="K78" s="2"/>
      <c r="L78" s="7">
        <f t="shared" si="41"/>
        <v>-310</v>
      </c>
      <c r="M78" s="2"/>
      <c r="N78" s="6">
        <f t="shared" si="42"/>
        <v>-0.71264367816091956</v>
      </c>
      <c r="O78" s="11"/>
      <c r="P78" s="7">
        <v>1568.25</v>
      </c>
      <c r="Q78" s="2"/>
      <c r="R78" s="6">
        <f t="shared" si="43"/>
        <v>0.55591594529638211</v>
      </c>
      <c r="S78" s="2"/>
      <c r="T78" s="7">
        <v>2796</v>
      </c>
      <c r="U78" s="2"/>
      <c r="V78" s="6">
        <f t="shared" si="44"/>
        <v>6.0676951655920883E-3</v>
      </c>
      <c r="W78" s="2"/>
      <c r="X78" s="7">
        <f t="shared" si="45"/>
        <v>-1227.75</v>
      </c>
      <c r="Y78" s="2"/>
      <c r="Z78" s="6">
        <f t="shared" si="46"/>
        <v>-0.43910944206008584</v>
      </c>
    </row>
    <row r="79" spans="1:26" s="25" customFormat="1" outlineLevel="1" collapsed="1" x14ac:dyDescent="0.25">
      <c r="A79" s="27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7">IF(D$12=0,0,D79/D$12)</f>
        <v>0</v>
      </c>
      <c r="G79" s="1"/>
      <c r="H79" s="1">
        <f>SUM(OSRRefH22_14x_0)</f>
        <v>1779</v>
      </c>
      <c r="I79" s="1"/>
      <c r="J79" s="5">
        <f t="shared" ref="J79:J81" si="48">IF(H$12=0,0,H79/H$12)</f>
        <v>1.7362873316416162E-2</v>
      </c>
      <c r="K79" s="1"/>
      <c r="L79" s="1">
        <f t="shared" ref="L79:L81" si="49">+D79-H79</f>
        <v>-1779</v>
      </c>
      <c r="M79" s="1"/>
      <c r="N79" s="5">
        <f t="shared" ref="N79:N81" si="50">IF(H79=0,0,L79/H79)</f>
        <v>-1</v>
      </c>
      <c r="O79" s="13"/>
      <c r="P79" s="1">
        <f>SUM(OSRRefP22_14x_0)</f>
        <v>185.7</v>
      </c>
      <c r="Q79" s="1"/>
      <c r="R79" s="5">
        <f t="shared" ref="R79:R81" si="51">IF(P$12=0,0,P79/P$12)</f>
        <v>6.5827253971967578E-2</v>
      </c>
      <c r="S79" s="1"/>
      <c r="T79" s="1">
        <f>SUM(OSRRefT22_14x_0)</f>
        <v>8002</v>
      </c>
      <c r="U79" s="1"/>
      <c r="V79" s="5">
        <f t="shared" ref="V79:V81" si="52">IF(T$12=0,0,T79/T$12)</f>
        <v>1.736541370352929E-2</v>
      </c>
      <c r="W79" s="1"/>
      <c r="X79" s="1">
        <f t="shared" ref="X79:X81" si="53">+P79-T79</f>
        <v>-7816.3</v>
      </c>
      <c r="Y79" s="1"/>
      <c r="Z79" s="5">
        <f t="shared" ref="Z79:Z81" si="54">IF(T79=0,0,X79/T79)</f>
        <v>-0.97679330167458134</v>
      </c>
    </row>
    <row r="80" spans="1:26" s="24" customFormat="1" hidden="1" outlineLevel="2" x14ac:dyDescent="0.25">
      <c r="A80" s="26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47"/>
        <v>0</v>
      </c>
      <c r="G80" s="2"/>
      <c r="H80" s="7"/>
      <c r="I80" s="2"/>
      <c r="J80" s="6">
        <f t="shared" si="48"/>
        <v>0</v>
      </c>
      <c r="K80" s="2"/>
      <c r="L80" s="7">
        <f t="shared" si="49"/>
        <v>0</v>
      </c>
      <c r="M80" s="2"/>
      <c r="N80" s="6">
        <f t="shared" si="50"/>
        <v>0</v>
      </c>
      <c r="O80" s="11"/>
      <c r="P80" s="7">
        <v>185.7</v>
      </c>
      <c r="Q80" s="2"/>
      <c r="R80" s="6">
        <f t="shared" si="51"/>
        <v>6.5827253971967578E-2</v>
      </c>
      <c r="S80" s="2"/>
      <c r="T80" s="7"/>
      <c r="U80" s="2"/>
      <c r="V80" s="6">
        <f t="shared" si="52"/>
        <v>0</v>
      </c>
      <c r="W80" s="2"/>
      <c r="X80" s="7">
        <f t="shared" si="53"/>
        <v>185.7</v>
      </c>
      <c r="Y80" s="2"/>
      <c r="Z80" s="6">
        <f t="shared" si="54"/>
        <v>0</v>
      </c>
    </row>
    <row r="81" spans="1:26" s="24" customFormat="1" hidden="1" outlineLevel="2" x14ac:dyDescent="0.25">
      <c r="A81" s="26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47"/>
        <v>0</v>
      </c>
      <c r="G81" s="2"/>
      <c r="H81" s="7">
        <v>1779</v>
      </c>
      <c r="I81" s="2"/>
      <c r="J81" s="6">
        <f t="shared" si="48"/>
        <v>1.7362873316416162E-2</v>
      </c>
      <c r="K81" s="2"/>
      <c r="L81" s="7">
        <f t="shared" si="49"/>
        <v>-1779</v>
      </c>
      <c r="M81" s="2"/>
      <c r="N81" s="6">
        <f t="shared" si="50"/>
        <v>-1</v>
      </c>
      <c r="O81" s="11"/>
      <c r="P81" s="7"/>
      <c r="Q81" s="2"/>
      <c r="R81" s="6">
        <f t="shared" si="51"/>
        <v>0</v>
      </c>
      <c r="S81" s="2"/>
      <c r="T81" s="7">
        <v>8002</v>
      </c>
      <c r="U81" s="2"/>
      <c r="V81" s="6">
        <f t="shared" si="52"/>
        <v>1.736541370352929E-2</v>
      </c>
      <c r="W81" s="2"/>
      <c r="X81" s="7">
        <f t="shared" si="53"/>
        <v>-8002</v>
      </c>
      <c r="Y81" s="2"/>
      <c r="Z81" s="6">
        <f t="shared" si="54"/>
        <v>-1</v>
      </c>
    </row>
    <row r="82" spans="1:26" s="25" customFormat="1" outlineLevel="1" collapsed="1" x14ac:dyDescent="0.25">
      <c r="A82" s="27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160.20999999999998</v>
      </c>
      <c r="E82" s="1"/>
      <c r="F82" s="5">
        <f t="shared" ref="F82:F86" si="55">IF(D$12=0,0,D82/D$12)</f>
        <v>1.5933366484336149</v>
      </c>
      <c r="G82" s="1"/>
      <c r="H82" s="1">
        <f>SUM(OSRRefH22_15x_0)</f>
        <v>843</v>
      </c>
      <c r="I82" s="1"/>
      <c r="J82" s="5">
        <f t="shared" ref="J82:J86" si="56">IF(H$12=0,0,H82/H$12)</f>
        <v>8.2276010150302559E-3</v>
      </c>
      <c r="K82" s="1"/>
      <c r="L82" s="1">
        <f t="shared" ref="L82:L86" si="57">+D82-H82</f>
        <v>-682.79</v>
      </c>
      <c r="M82" s="1"/>
      <c r="N82" s="5">
        <f t="shared" ref="N82:N86" si="58">IF(H82=0,0,L82/H82)</f>
        <v>-0.80995255041518377</v>
      </c>
      <c r="O82" s="13"/>
      <c r="P82" s="1">
        <f>SUM(OSRRefP22_15x_0)</f>
        <v>2005.3600000000001</v>
      </c>
      <c r="Q82" s="1"/>
      <c r="R82" s="5">
        <f t="shared" ref="R82:R86" si="59">IF(P$12=0,0,P82/P$12)</f>
        <v>0.71086344655479217</v>
      </c>
      <c r="S82" s="1"/>
      <c r="T82" s="1">
        <f>SUM(OSRRefT22_15x_0)</f>
        <v>8708</v>
      </c>
      <c r="U82" s="1"/>
      <c r="V82" s="5">
        <f t="shared" ref="V82:V86" si="60">IF(T$12=0,0,T82/T$12)</f>
        <v>1.8897528434183086E-2</v>
      </c>
      <c r="W82" s="1"/>
      <c r="X82" s="1">
        <f t="shared" ref="X82:X86" si="61">+P82-T82</f>
        <v>-6702.6399999999994</v>
      </c>
      <c r="Y82" s="1"/>
      <c r="Z82" s="5">
        <f t="shared" ref="Z82:Z86" si="62">IF(T82=0,0,X82/T82)</f>
        <v>-0.76971061093247584</v>
      </c>
    </row>
    <row r="83" spans="1:26" s="24" customFormat="1" hidden="1" outlineLevel="2" x14ac:dyDescent="0.25">
      <c r="A83" s="26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441.21</v>
      </c>
      <c r="E83" s="2"/>
      <c r="F83" s="6">
        <f t="shared" si="55"/>
        <v>4.3879661859771257</v>
      </c>
      <c r="G83" s="2"/>
      <c r="H83" s="7"/>
      <c r="I83" s="2"/>
      <c r="J83" s="6">
        <f t="shared" si="56"/>
        <v>0</v>
      </c>
      <c r="K83" s="2"/>
      <c r="L83" s="7">
        <f t="shared" si="57"/>
        <v>441.21</v>
      </c>
      <c r="M83" s="2"/>
      <c r="N83" s="6">
        <f t="shared" si="58"/>
        <v>0</v>
      </c>
      <c r="O83" s="11"/>
      <c r="P83" s="7">
        <v>1934.96</v>
      </c>
      <c r="Q83" s="2"/>
      <c r="R83" s="6">
        <f t="shared" si="59"/>
        <v>0.68590793400968431</v>
      </c>
      <c r="S83" s="2"/>
      <c r="T83" s="7">
        <v>1416</v>
      </c>
      <c r="U83" s="2"/>
      <c r="V83" s="6">
        <f t="shared" si="60"/>
        <v>3.0729099980251781E-3</v>
      </c>
      <c r="W83" s="2"/>
      <c r="X83" s="7">
        <f t="shared" si="61"/>
        <v>518.96</v>
      </c>
      <c r="Y83" s="2"/>
      <c r="Z83" s="6">
        <f t="shared" si="62"/>
        <v>0.36649717514124297</v>
      </c>
    </row>
    <row r="84" spans="1:26" s="24" customFormat="1" hidden="1" outlineLevel="2" x14ac:dyDescent="0.25">
      <c r="A84" s="26"/>
      <c r="B84" s="11" t="str">
        <f>CONCATENATE("          ", "6284", " - ", "TRASH REMOVAL EXPENSE")</f>
        <v xml:space="preserve">          6284 - TRASH REMOVAL EXPENSE</v>
      </c>
      <c r="C84" s="11"/>
      <c r="D84" s="7">
        <v>-281</v>
      </c>
      <c r="E84" s="2"/>
      <c r="F84" s="6">
        <f t="shared" si="55"/>
        <v>-2.7946295375435106</v>
      </c>
      <c r="G84" s="2"/>
      <c r="H84" s="7">
        <v>289</v>
      </c>
      <c r="I84" s="2"/>
      <c r="J84" s="6">
        <f t="shared" si="56"/>
        <v>2.8206129221159475E-3</v>
      </c>
      <c r="K84" s="2"/>
      <c r="L84" s="7">
        <f t="shared" si="57"/>
        <v>-570</v>
      </c>
      <c r="M84" s="2"/>
      <c r="N84" s="6">
        <f t="shared" si="58"/>
        <v>-1.972318339100346</v>
      </c>
      <c r="O84" s="11"/>
      <c r="P84" s="7">
        <v>875</v>
      </c>
      <c r="Q84" s="2"/>
      <c r="R84" s="6">
        <f t="shared" si="59"/>
        <v>0.31017149825240509</v>
      </c>
      <c r="S84" s="2"/>
      <c r="T84" s="7">
        <v>2600</v>
      </c>
      <c r="U84" s="2"/>
      <c r="V84" s="6">
        <f t="shared" si="60"/>
        <v>5.6423488664304111E-3</v>
      </c>
      <c r="W84" s="2"/>
      <c r="X84" s="7">
        <f t="shared" si="61"/>
        <v>-1725</v>
      </c>
      <c r="Y84" s="2"/>
      <c r="Z84" s="6">
        <f t="shared" si="62"/>
        <v>-0.66346153846153844</v>
      </c>
    </row>
    <row r="85" spans="1:26" s="24" customFormat="1" hidden="1" outlineLevel="2" x14ac:dyDescent="0.25">
      <c r="A85" s="26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5"/>
        <v>0</v>
      </c>
      <c r="G85" s="2"/>
      <c r="H85" s="7">
        <v>450</v>
      </c>
      <c r="I85" s="2"/>
      <c r="J85" s="6">
        <f t="shared" si="56"/>
        <v>4.3919578372047631E-3</v>
      </c>
      <c r="K85" s="2"/>
      <c r="L85" s="7">
        <f t="shared" si="57"/>
        <v>-450</v>
      </c>
      <c r="M85" s="2"/>
      <c r="N85" s="6">
        <f t="shared" si="58"/>
        <v>-1</v>
      </c>
      <c r="O85" s="11"/>
      <c r="P85" s="7">
        <v>-804.6</v>
      </c>
      <c r="Q85" s="2"/>
      <c r="R85" s="6">
        <f t="shared" si="59"/>
        <v>-0.28521598570729734</v>
      </c>
      <c r="S85" s="2"/>
      <c r="T85" s="7">
        <v>3763</v>
      </c>
      <c r="U85" s="2"/>
      <c r="V85" s="6">
        <f t="shared" si="60"/>
        <v>8.1662149170683221E-3</v>
      </c>
      <c r="W85" s="2"/>
      <c r="X85" s="7">
        <f t="shared" si="61"/>
        <v>-4567.6000000000004</v>
      </c>
      <c r="Y85" s="2"/>
      <c r="Z85" s="6">
        <f t="shared" si="62"/>
        <v>-1.213818761626362</v>
      </c>
    </row>
    <row r="86" spans="1:26" s="24" customFormat="1" hidden="1" outlineLevel="2" x14ac:dyDescent="0.25">
      <c r="A86" s="26"/>
      <c r="B86" s="11" t="str">
        <f>CONCATENATE("          ", "6286", " - ", "LAUNDRY EXPENSE")</f>
        <v xml:space="preserve">          6286 - LAUNDRY EXPENSE</v>
      </c>
      <c r="C86" s="11"/>
      <c r="D86" s="7"/>
      <c r="E86" s="2"/>
      <c r="F86" s="6">
        <f t="shared" si="55"/>
        <v>0</v>
      </c>
      <c r="G86" s="2"/>
      <c r="H86" s="7">
        <v>104</v>
      </c>
      <c r="I86" s="2"/>
      <c r="J86" s="6">
        <f t="shared" si="56"/>
        <v>1.0150302557095452E-3</v>
      </c>
      <c r="K86" s="2"/>
      <c r="L86" s="7">
        <f t="shared" si="57"/>
        <v>-104</v>
      </c>
      <c r="M86" s="2"/>
      <c r="N86" s="6">
        <f t="shared" si="58"/>
        <v>-1</v>
      </c>
      <c r="O86" s="11"/>
      <c r="P86" s="7"/>
      <c r="Q86" s="2"/>
      <c r="R86" s="6">
        <f t="shared" si="59"/>
        <v>0</v>
      </c>
      <c r="S86" s="2"/>
      <c r="T86" s="7">
        <v>929</v>
      </c>
      <c r="U86" s="2"/>
      <c r="V86" s="6">
        <f t="shared" si="60"/>
        <v>2.0160546526591739E-3</v>
      </c>
      <c r="W86" s="2"/>
      <c r="X86" s="7">
        <f t="shared" si="61"/>
        <v>-929</v>
      </c>
      <c r="Y86" s="2"/>
      <c r="Z86" s="6">
        <f t="shared" si="62"/>
        <v>-1</v>
      </c>
    </row>
    <row r="87" spans="1:26" s="25" customFormat="1" outlineLevel="1" collapsed="1" x14ac:dyDescent="0.25">
      <c r="A87" s="27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SUM(OSRRefD22_16x_0)</f>
        <v>0</v>
      </c>
      <c r="E87" s="1"/>
      <c r="F87" s="5">
        <f t="shared" ref="F87:F96" si="63">IF(D$12=0,0,D87/D$12)</f>
        <v>0</v>
      </c>
      <c r="G87" s="1"/>
      <c r="H87" s="1">
        <f>SUM(OSRRefH22_16x_0)</f>
        <v>176</v>
      </c>
      <c r="I87" s="1"/>
      <c r="J87" s="5">
        <f t="shared" ref="J87:J96" si="64">IF(H$12=0,0,H87/H$12)</f>
        <v>1.7177435096623072E-3</v>
      </c>
      <c r="K87" s="1"/>
      <c r="L87" s="1">
        <f t="shared" ref="L87:L96" si="65">+D87-H87</f>
        <v>-176</v>
      </c>
      <c r="M87" s="1"/>
      <c r="N87" s="5">
        <f t="shared" ref="N87:N96" si="66">IF(H87=0,0,L87/H87)</f>
        <v>-1</v>
      </c>
      <c r="O87" s="13"/>
      <c r="P87" s="1">
        <f>SUM(OSRRefP22_16x_0)</f>
        <v>0</v>
      </c>
      <c r="Q87" s="1"/>
      <c r="R87" s="5">
        <f t="shared" ref="R87:R96" si="67">IF(P$12=0,0,P87/P$12)</f>
        <v>0</v>
      </c>
      <c r="S87" s="1"/>
      <c r="T87" s="1">
        <f>SUM(OSRRefT22_16x_0)</f>
        <v>1584</v>
      </c>
      <c r="U87" s="1"/>
      <c r="V87" s="5">
        <f t="shared" ref="V87:V96" si="68">IF(T$12=0,0,T87/T$12)</f>
        <v>3.4374925401637582E-3</v>
      </c>
      <c r="W87" s="1"/>
      <c r="X87" s="1">
        <f t="shared" ref="X87:X96" si="69">+P87-T87</f>
        <v>-1584</v>
      </c>
      <c r="Y87" s="1"/>
      <c r="Z87" s="5">
        <f t="shared" ref="Z87:Z96" si="70">IF(T87=0,0,X87/T87)</f>
        <v>-1</v>
      </c>
    </row>
    <row r="88" spans="1:26" s="24" customFormat="1" hidden="1" outlineLevel="2" x14ac:dyDescent="0.25">
      <c r="A88" s="26"/>
      <c r="B88" s="11" t="str">
        <f>CONCATENATE("          ", "6275", " - ", "SUBSCRIPTIONS")</f>
        <v xml:space="preserve">          6275 - SUBSCRIPTIONS</v>
      </c>
      <c r="C88" s="11"/>
      <c r="D88" s="7"/>
      <c r="E88" s="2"/>
      <c r="F88" s="6">
        <f t="shared" si="63"/>
        <v>0</v>
      </c>
      <c r="G88" s="2"/>
      <c r="H88" s="7">
        <v>176</v>
      </c>
      <c r="I88" s="2"/>
      <c r="J88" s="6">
        <f t="shared" si="64"/>
        <v>1.7177435096623072E-3</v>
      </c>
      <c r="K88" s="2"/>
      <c r="L88" s="7">
        <f t="shared" si="65"/>
        <v>-176</v>
      </c>
      <c r="M88" s="2"/>
      <c r="N88" s="6">
        <f t="shared" si="66"/>
        <v>-1</v>
      </c>
      <c r="O88" s="11"/>
      <c r="P88" s="7"/>
      <c r="Q88" s="2"/>
      <c r="R88" s="6">
        <f t="shared" si="67"/>
        <v>0</v>
      </c>
      <c r="S88" s="2"/>
      <c r="T88" s="7">
        <v>1584</v>
      </c>
      <c r="U88" s="2"/>
      <c r="V88" s="6">
        <f t="shared" si="68"/>
        <v>3.4374925401637582E-3</v>
      </c>
      <c r="W88" s="2"/>
      <c r="X88" s="7">
        <f t="shared" si="69"/>
        <v>-1584</v>
      </c>
      <c r="Y88" s="2"/>
      <c r="Z88" s="6">
        <f t="shared" si="70"/>
        <v>-1</v>
      </c>
    </row>
    <row r="89" spans="1:26" s="25" customFormat="1" outlineLevel="1" collapsed="1" x14ac:dyDescent="0.25">
      <c r="A89" s="27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SUM(OSRRefD22_17x_0)</f>
        <v>0</v>
      </c>
      <c r="E89" s="1"/>
      <c r="F89" s="5">
        <f t="shared" si="63"/>
        <v>0</v>
      </c>
      <c r="G89" s="1"/>
      <c r="H89" s="1">
        <f>SUM(OSRRefH22_17x_0)</f>
        <v>1458</v>
      </c>
      <c r="I89" s="1"/>
      <c r="J89" s="5">
        <f t="shared" si="64"/>
        <v>1.4229943392543432E-2</v>
      </c>
      <c r="K89" s="1"/>
      <c r="L89" s="1">
        <f t="shared" si="65"/>
        <v>-1458</v>
      </c>
      <c r="M89" s="1"/>
      <c r="N89" s="5">
        <f t="shared" si="66"/>
        <v>-1</v>
      </c>
      <c r="O89" s="13"/>
      <c r="P89" s="1">
        <f>SUM(OSRRefP22_17x_0)</f>
        <v>1094.0899999999999</v>
      </c>
      <c r="Q89" s="1"/>
      <c r="R89" s="5">
        <f t="shared" si="67"/>
        <v>0.38783489659768444</v>
      </c>
      <c r="S89" s="1"/>
      <c r="T89" s="1">
        <f>SUM(OSRRefT22_17x_0)</f>
        <v>20342</v>
      </c>
      <c r="U89" s="1"/>
      <c r="V89" s="5">
        <f t="shared" si="68"/>
        <v>4.4144869477279781E-2</v>
      </c>
      <c r="W89" s="1"/>
      <c r="X89" s="1">
        <f t="shared" si="69"/>
        <v>-19247.91</v>
      </c>
      <c r="Y89" s="1"/>
      <c r="Z89" s="5">
        <f t="shared" si="70"/>
        <v>-0.94621521974240486</v>
      </c>
    </row>
    <row r="90" spans="1:26" s="24" customFormat="1" hidden="1" outlineLevel="2" x14ac:dyDescent="0.25">
      <c r="A90" s="26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0</v>
      </c>
      <c r="M90" s="2"/>
      <c r="N90" s="6">
        <f t="shared" si="66"/>
        <v>0</v>
      </c>
      <c r="O90" s="11"/>
      <c r="P90" s="7">
        <v>316.67</v>
      </c>
      <c r="Q90" s="2"/>
      <c r="R90" s="6">
        <f t="shared" si="67"/>
        <v>0.11225372383038758</v>
      </c>
      <c r="S90" s="2"/>
      <c r="T90" s="7">
        <v>28</v>
      </c>
      <c r="U90" s="2"/>
      <c r="V90" s="6">
        <f t="shared" si="68"/>
        <v>6.0763757023096737E-5</v>
      </c>
      <c r="W90" s="2"/>
      <c r="X90" s="7">
        <f t="shared" si="69"/>
        <v>288.67</v>
      </c>
      <c r="Y90" s="2"/>
      <c r="Z90" s="6">
        <f t="shared" si="70"/>
        <v>10.309642857142858</v>
      </c>
    </row>
    <row r="91" spans="1:26" s="24" customFormat="1" hidden="1" outlineLevel="2" x14ac:dyDescent="0.25">
      <c r="A91" s="26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63"/>
        <v>0</v>
      </c>
      <c r="G91" s="2"/>
      <c r="H91" s="7">
        <v>400</v>
      </c>
      <c r="I91" s="2"/>
      <c r="J91" s="6">
        <f t="shared" si="64"/>
        <v>3.9039625219597892E-3</v>
      </c>
      <c r="K91" s="2"/>
      <c r="L91" s="7">
        <f t="shared" si="65"/>
        <v>-400</v>
      </c>
      <c r="M91" s="2"/>
      <c r="N91" s="6">
        <f t="shared" si="66"/>
        <v>-1</v>
      </c>
      <c r="O91" s="11"/>
      <c r="P91" s="7">
        <v>207.27</v>
      </c>
      <c r="Q91" s="2"/>
      <c r="R91" s="6">
        <f t="shared" si="67"/>
        <v>7.3473424506029728E-2</v>
      </c>
      <c r="S91" s="2"/>
      <c r="T91" s="7">
        <v>4100</v>
      </c>
      <c r="U91" s="2"/>
      <c r="V91" s="6">
        <f t="shared" si="68"/>
        <v>8.8975501355248801E-3</v>
      </c>
      <c r="W91" s="2"/>
      <c r="X91" s="7">
        <f t="shared" si="69"/>
        <v>-3892.73</v>
      </c>
      <c r="Y91" s="2"/>
      <c r="Z91" s="6">
        <f t="shared" si="70"/>
        <v>-0.94944634146341467</v>
      </c>
    </row>
    <row r="92" spans="1:26" s="24" customFormat="1" hidden="1" outlineLevel="2" x14ac:dyDescent="0.25">
      <c r="A92" s="26"/>
      <c r="B92" s="11" t="str">
        <f>CONCATENATE("          ", "6237", " - ", "JANITORIAL SUPPLIES")</f>
        <v xml:space="preserve">          6237 - JANITORIAL SUPPLIES</v>
      </c>
      <c r="C92" s="11"/>
      <c r="D92" s="7"/>
      <c r="E92" s="2"/>
      <c r="F92" s="6">
        <f t="shared" si="63"/>
        <v>0</v>
      </c>
      <c r="G92" s="2"/>
      <c r="H92" s="7">
        <v>231</v>
      </c>
      <c r="I92" s="2"/>
      <c r="J92" s="6">
        <f t="shared" si="64"/>
        <v>2.2545383564317781E-3</v>
      </c>
      <c r="K92" s="2"/>
      <c r="L92" s="7">
        <f t="shared" si="65"/>
        <v>-231</v>
      </c>
      <c r="M92" s="2"/>
      <c r="N92" s="6">
        <f t="shared" si="66"/>
        <v>-1</v>
      </c>
      <c r="O92" s="11"/>
      <c r="P92" s="7">
        <v>317.57</v>
      </c>
      <c r="Q92" s="2"/>
      <c r="R92" s="6">
        <f t="shared" si="67"/>
        <v>0.11257275737144719</v>
      </c>
      <c r="S92" s="2"/>
      <c r="T92" s="7">
        <v>922</v>
      </c>
      <c r="U92" s="2"/>
      <c r="V92" s="6">
        <f t="shared" si="68"/>
        <v>2.0008637134033996E-3</v>
      </c>
      <c r="W92" s="2"/>
      <c r="X92" s="7">
        <f t="shared" si="69"/>
        <v>-604.43000000000006</v>
      </c>
      <c r="Y92" s="2"/>
      <c r="Z92" s="6">
        <f t="shared" si="70"/>
        <v>-0.65556399132321053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7"/>
      <c r="E93" s="2"/>
      <c r="F93" s="6">
        <f t="shared" si="63"/>
        <v>0</v>
      </c>
      <c r="G93" s="2"/>
      <c r="H93" s="7"/>
      <c r="I93" s="2"/>
      <c r="J93" s="6">
        <f t="shared" si="64"/>
        <v>0</v>
      </c>
      <c r="K93" s="2"/>
      <c r="L93" s="7">
        <f t="shared" si="65"/>
        <v>0</v>
      </c>
      <c r="M93" s="2"/>
      <c r="N93" s="6">
        <f t="shared" si="66"/>
        <v>0</v>
      </c>
      <c r="O93" s="11"/>
      <c r="P93" s="7">
        <v>131.30000000000001</v>
      </c>
      <c r="Q93" s="2"/>
      <c r="R93" s="6">
        <f t="shared" si="67"/>
        <v>4.6543448823475192E-2</v>
      </c>
      <c r="S93" s="2"/>
      <c r="T93" s="7"/>
      <c r="U93" s="2"/>
      <c r="V93" s="6">
        <f t="shared" si="68"/>
        <v>0</v>
      </c>
      <c r="W93" s="2"/>
      <c r="X93" s="7">
        <f t="shared" si="69"/>
        <v>131.30000000000001</v>
      </c>
      <c r="Y93" s="2"/>
      <c r="Z93" s="6">
        <f t="shared" si="70"/>
        <v>0</v>
      </c>
    </row>
    <row r="94" spans="1:26" s="24" customFormat="1" hidden="1" outlineLevel="2" x14ac:dyDescent="0.25">
      <c r="A94" s="26"/>
      <c r="B94" s="11" t="str">
        <f>CONCATENATE("          ", "6243", " - ", "PAPER SUPPLIES")</f>
        <v xml:space="preserve">          6243 - PAPER SUPPLIES</v>
      </c>
      <c r="C94" s="11"/>
      <c r="D94" s="7"/>
      <c r="E94" s="2"/>
      <c r="F94" s="6">
        <f t="shared" si="63"/>
        <v>0</v>
      </c>
      <c r="G94" s="2"/>
      <c r="H94" s="7"/>
      <c r="I94" s="2"/>
      <c r="J94" s="6">
        <f t="shared" si="64"/>
        <v>0</v>
      </c>
      <c r="K94" s="2"/>
      <c r="L94" s="7">
        <f t="shared" si="65"/>
        <v>0</v>
      </c>
      <c r="M94" s="2"/>
      <c r="N94" s="6">
        <f t="shared" si="66"/>
        <v>0</v>
      </c>
      <c r="O94" s="11"/>
      <c r="P94" s="7"/>
      <c r="Q94" s="2"/>
      <c r="R94" s="6">
        <f t="shared" si="67"/>
        <v>0</v>
      </c>
      <c r="S94" s="2"/>
      <c r="T94" s="7">
        <v>1272</v>
      </c>
      <c r="U94" s="2"/>
      <c r="V94" s="6">
        <f t="shared" si="68"/>
        <v>2.7604106761921089E-3</v>
      </c>
      <c r="W94" s="2"/>
      <c r="X94" s="7">
        <f t="shared" si="69"/>
        <v>-1272</v>
      </c>
      <c r="Y94" s="2"/>
      <c r="Z94" s="6">
        <f t="shared" si="70"/>
        <v>-1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63"/>
        <v>0</v>
      </c>
      <c r="G95" s="2"/>
      <c r="H95" s="7">
        <v>827</v>
      </c>
      <c r="I95" s="2"/>
      <c r="J95" s="6">
        <f t="shared" si="64"/>
        <v>8.0714425141518633E-3</v>
      </c>
      <c r="K95" s="2"/>
      <c r="L95" s="7">
        <f t="shared" si="65"/>
        <v>-827</v>
      </c>
      <c r="M95" s="2"/>
      <c r="N95" s="6">
        <f t="shared" si="66"/>
        <v>-1</v>
      </c>
      <c r="O95" s="11"/>
      <c r="P95" s="7">
        <v>121.28</v>
      </c>
      <c r="Q95" s="2"/>
      <c r="R95" s="6">
        <f t="shared" si="67"/>
        <v>4.2991542066344791E-2</v>
      </c>
      <c r="S95" s="2"/>
      <c r="T95" s="7">
        <v>13820</v>
      </c>
      <c r="U95" s="2"/>
      <c r="V95" s="6">
        <f t="shared" si="68"/>
        <v>2.9991254359257032E-2</v>
      </c>
      <c r="W95" s="2"/>
      <c r="X95" s="7">
        <f t="shared" si="69"/>
        <v>-13698.72</v>
      </c>
      <c r="Y95" s="2"/>
      <c r="Z95" s="6">
        <f t="shared" si="70"/>
        <v>-0.99122431259044863</v>
      </c>
    </row>
    <row r="96" spans="1:26" s="24" customFormat="1" hidden="1" outlineLevel="2" x14ac:dyDescent="0.25">
      <c r="A96" s="26"/>
      <c r="B96" s="11" t="str">
        <f>CONCATENATE("          ", "6248", " - ", "UNIFORMS")</f>
        <v xml:space="preserve">          6248 - UNIFORMS</v>
      </c>
      <c r="C96" s="11"/>
      <c r="D96" s="7"/>
      <c r="E96" s="2"/>
      <c r="F96" s="6">
        <f t="shared" si="63"/>
        <v>0</v>
      </c>
      <c r="G96" s="2"/>
      <c r="H96" s="7"/>
      <c r="I96" s="2"/>
      <c r="J96" s="6">
        <f t="shared" si="64"/>
        <v>0</v>
      </c>
      <c r="K96" s="2"/>
      <c r="L96" s="7">
        <f t="shared" si="65"/>
        <v>0</v>
      </c>
      <c r="M96" s="2"/>
      <c r="N96" s="6">
        <f t="shared" si="66"/>
        <v>0</v>
      </c>
      <c r="O96" s="11"/>
      <c r="P96" s="7"/>
      <c r="Q96" s="2"/>
      <c r="R96" s="6">
        <f t="shared" si="67"/>
        <v>0</v>
      </c>
      <c r="S96" s="2"/>
      <c r="T96" s="7">
        <v>200</v>
      </c>
      <c r="U96" s="2"/>
      <c r="V96" s="6">
        <f t="shared" si="68"/>
        <v>4.3402683587926241E-4</v>
      </c>
      <c r="W96" s="2"/>
      <c r="X96" s="7">
        <f t="shared" si="69"/>
        <v>-200</v>
      </c>
      <c r="Y96" s="2"/>
      <c r="Z96" s="6">
        <f t="shared" si="70"/>
        <v>-1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SUM(OSRRefD22_18x_0)</f>
        <v>181.45</v>
      </c>
      <c r="E97" s="1"/>
      <c r="F97" s="5">
        <f t="shared" ref="F97:F99" si="71">IF(D$12=0,0,D97/D$12)</f>
        <v>1.8045748383888611</v>
      </c>
      <c r="G97" s="1"/>
      <c r="H97" s="1">
        <f>SUM(OSRRefH22_18x_0)</f>
        <v>235</v>
      </c>
      <c r="I97" s="1"/>
      <c r="J97" s="5">
        <f t="shared" ref="J97:J99" si="72">IF(H$12=0,0,H97/H$12)</f>
        <v>2.2935779816513763E-3</v>
      </c>
      <c r="K97" s="1"/>
      <c r="L97" s="1">
        <f t="shared" ref="L97:L99" si="73">+D97-H97</f>
        <v>-53.550000000000011</v>
      </c>
      <c r="M97" s="1"/>
      <c r="N97" s="5">
        <f t="shared" ref="N97:N99" si="74">IF(H97=0,0,L97/H97)</f>
        <v>-0.22787234042553195</v>
      </c>
      <c r="O97" s="13"/>
      <c r="P97" s="1">
        <f>SUM(OSRRefP22_18x_0)</f>
        <v>3192.89</v>
      </c>
      <c r="Q97" s="1"/>
      <c r="R97" s="5">
        <f t="shared" ref="R97:R99" si="75">IF(P$12=0,0,P97/P$12)</f>
        <v>1.1318211143487105</v>
      </c>
      <c r="S97" s="1"/>
      <c r="T97" s="1">
        <f>SUM(OSRRefT22_18x_0)</f>
        <v>2560</v>
      </c>
      <c r="U97" s="1"/>
      <c r="V97" s="5">
        <f t="shared" ref="V97:V99" si="76">IF(T$12=0,0,T97/T$12)</f>
        <v>5.5555434992545592E-3</v>
      </c>
      <c r="W97" s="1"/>
      <c r="X97" s="1">
        <f t="shared" ref="X97:X99" si="77">+P97-T97</f>
        <v>632.88999999999987</v>
      </c>
      <c r="Y97" s="1"/>
      <c r="Z97" s="5">
        <f t="shared" ref="Z97:Z99" si="78">IF(T97=0,0,X97/T97)</f>
        <v>0.24722265624999995</v>
      </c>
    </row>
    <row r="98" spans="1:26" s="24" customFormat="1" hidden="1" outlineLevel="2" x14ac:dyDescent="0.25">
      <c r="A98" s="26"/>
      <c r="B98" s="11" t="str">
        <f>CONCATENATE("          ", "6303", " - ", "DATA PHONE LINES")</f>
        <v xml:space="preserve">          6303 - DATA PHONE LINES</v>
      </c>
      <c r="C98" s="11"/>
      <c r="D98" s="7"/>
      <c r="E98" s="2"/>
      <c r="F98" s="6">
        <f t="shared" si="71"/>
        <v>0</v>
      </c>
      <c r="G98" s="2"/>
      <c r="H98" s="7">
        <v>235</v>
      </c>
      <c r="I98" s="2"/>
      <c r="J98" s="6">
        <f t="shared" si="72"/>
        <v>2.2935779816513763E-3</v>
      </c>
      <c r="K98" s="2"/>
      <c r="L98" s="7">
        <f t="shared" si="73"/>
        <v>-235</v>
      </c>
      <c r="M98" s="2"/>
      <c r="N98" s="6">
        <f t="shared" si="74"/>
        <v>-1</v>
      </c>
      <c r="O98" s="11"/>
      <c r="P98" s="7"/>
      <c r="Q98" s="2"/>
      <c r="R98" s="6">
        <f t="shared" si="75"/>
        <v>0</v>
      </c>
      <c r="S98" s="2"/>
      <c r="T98" s="7">
        <v>2110</v>
      </c>
      <c r="U98" s="2"/>
      <c r="V98" s="6">
        <f t="shared" si="76"/>
        <v>4.5789831185262184E-3</v>
      </c>
      <c r="W98" s="2"/>
      <c r="X98" s="7">
        <f t="shared" si="77"/>
        <v>-2110</v>
      </c>
      <c r="Y98" s="2"/>
      <c r="Z98" s="6">
        <f t="shared" si="78"/>
        <v>-1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7">
        <v>181.45</v>
      </c>
      <c r="E99" s="2"/>
      <c r="F99" s="6">
        <f t="shared" si="71"/>
        <v>1.8045748383888611</v>
      </c>
      <c r="G99" s="2"/>
      <c r="H99" s="7"/>
      <c r="I99" s="2"/>
      <c r="J99" s="6">
        <f t="shared" si="72"/>
        <v>0</v>
      </c>
      <c r="K99" s="2"/>
      <c r="L99" s="7">
        <f t="shared" si="73"/>
        <v>181.45</v>
      </c>
      <c r="M99" s="2"/>
      <c r="N99" s="6">
        <f t="shared" si="74"/>
        <v>0</v>
      </c>
      <c r="O99" s="11"/>
      <c r="P99" s="7">
        <v>3192.89</v>
      </c>
      <c r="Q99" s="2"/>
      <c r="R99" s="6">
        <f t="shared" si="75"/>
        <v>1.1318211143487105</v>
      </c>
      <c r="S99" s="2"/>
      <c r="T99" s="7">
        <v>450</v>
      </c>
      <c r="U99" s="2"/>
      <c r="V99" s="6">
        <f t="shared" si="76"/>
        <v>9.7656038072834047E-4</v>
      </c>
      <c r="W99" s="2"/>
      <c r="X99" s="7">
        <f t="shared" si="77"/>
        <v>2742.89</v>
      </c>
      <c r="Y99" s="2"/>
      <c r="Z99" s="6">
        <f t="shared" si="78"/>
        <v>6.0953111111111111</v>
      </c>
    </row>
    <row r="100" spans="1:26" s="25" customFormat="1" outlineLevel="1" collapsed="1" x14ac:dyDescent="0.25">
      <c r="A100" s="27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SUM(OSRRefD22_19x_0)</f>
        <v>0</v>
      </c>
      <c r="E100" s="1"/>
      <c r="F100" s="5">
        <f t="shared" ref="F100:F105" si="79">IF(D$12=0,0,D100/D$12)</f>
        <v>0</v>
      </c>
      <c r="G100" s="1"/>
      <c r="H100" s="1">
        <f>SUM(OSRRefH22_19x_0)</f>
        <v>0</v>
      </c>
      <c r="I100" s="1"/>
      <c r="J100" s="5">
        <f t="shared" ref="J100:J105" si="80">IF(H$12=0,0,H100/H$12)</f>
        <v>0</v>
      </c>
      <c r="K100" s="1"/>
      <c r="L100" s="1">
        <f t="shared" ref="L100:L105" si="81">+D100-H100</f>
        <v>0</v>
      </c>
      <c r="M100" s="1"/>
      <c r="N100" s="5">
        <f t="shared" ref="N100:N105" si="82">IF(H100=0,0,L100/H100)</f>
        <v>0</v>
      </c>
      <c r="O100" s="13"/>
      <c r="P100" s="1">
        <f>SUM(OSRRefP22_19x_0)</f>
        <v>0</v>
      </c>
      <c r="Q100" s="1"/>
      <c r="R100" s="5">
        <f t="shared" ref="R100:R105" si="83">IF(P$12=0,0,P100/P$12)</f>
        <v>0</v>
      </c>
      <c r="S100" s="1"/>
      <c r="T100" s="1">
        <f>SUM(OSRRefT22_19x_0)</f>
        <v>240</v>
      </c>
      <c r="U100" s="1"/>
      <c r="V100" s="5">
        <f t="shared" ref="V100:V105" si="84">IF(T$12=0,0,T100/T$12)</f>
        <v>5.2083220305511487E-4</v>
      </c>
      <c r="W100" s="1"/>
      <c r="X100" s="1">
        <f t="shared" ref="X100:X105" si="85">+P100-T100</f>
        <v>-240</v>
      </c>
      <c r="Y100" s="1"/>
      <c r="Z100" s="5">
        <f t="shared" ref="Z100:Z105" si="86">IF(T100=0,0,X100/T100)</f>
        <v>-1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7"/>
      <c r="E101" s="2"/>
      <c r="F101" s="6">
        <f t="shared" si="79"/>
        <v>0</v>
      </c>
      <c r="G101" s="2"/>
      <c r="H101" s="7"/>
      <c r="I101" s="2"/>
      <c r="J101" s="6">
        <f t="shared" si="80"/>
        <v>0</v>
      </c>
      <c r="K101" s="2"/>
      <c r="L101" s="7">
        <f t="shared" si="81"/>
        <v>0</v>
      </c>
      <c r="M101" s="2"/>
      <c r="N101" s="6">
        <f t="shared" si="82"/>
        <v>0</v>
      </c>
      <c r="O101" s="11"/>
      <c r="P101" s="7"/>
      <c r="Q101" s="2"/>
      <c r="R101" s="6">
        <f t="shared" si="83"/>
        <v>0</v>
      </c>
      <c r="S101" s="2"/>
      <c r="T101" s="7">
        <v>240</v>
      </c>
      <c r="U101" s="2"/>
      <c r="V101" s="6">
        <f t="shared" si="84"/>
        <v>5.2083220305511487E-4</v>
      </c>
      <c r="W101" s="2"/>
      <c r="X101" s="7">
        <f t="shared" si="85"/>
        <v>-240</v>
      </c>
      <c r="Y101" s="2"/>
      <c r="Z101" s="6">
        <f t="shared" si="86"/>
        <v>-1</v>
      </c>
    </row>
    <row r="102" spans="1:26" s="25" customFormat="1" outlineLevel="1" collapsed="1" x14ac:dyDescent="0.25">
      <c r="A102" s="27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SUM(OSRRefD22_20x_0)</f>
        <v>0</v>
      </c>
      <c r="E102" s="1"/>
      <c r="F102" s="5">
        <f t="shared" si="79"/>
        <v>0</v>
      </c>
      <c r="G102" s="1"/>
      <c r="H102" s="1">
        <f>SUM(OSRRefH22_20x_0)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3"/>
      <c r="P102" s="1">
        <f>SUM(OSRRefP22_20x_0)</f>
        <v>0</v>
      </c>
      <c r="Q102" s="1"/>
      <c r="R102" s="5">
        <f t="shared" si="83"/>
        <v>0</v>
      </c>
      <c r="S102" s="1"/>
      <c r="T102" s="1">
        <f>SUM(OSRRefT22_20x_0)</f>
        <v>1500</v>
      </c>
      <c r="U102" s="1"/>
      <c r="V102" s="5">
        <f t="shared" si="84"/>
        <v>3.2552012690944682E-3</v>
      </c>
      <c r="W102" s="1"/>
      <c r="X102" s="1">
        <f t="shared" si="85"/>
        <v>-1500</v>
      </c>
      <c r="Y102" s="1"/>
      <c r="Z102" s="5">
        <f t="shared" si="86"/>
        <v>-1</v>
      </c>
    </row>
    <row r="103" spans="1:26" s="24" customFormat="1" hidden="1" outlineLevel="2" x14ac:dyDescent="0.25">
      <c r="A103" s="26"/>
      <c r="B103" s="11" t="str">
        <f>CONCATENATE("          ", "6292", " - ", "TRAVEL/CONFERENCE")</f>
        <v xml:space="preserve">          6292 - TRAVEL/CONFERENCE</v>
      </c>
      <c r="C103" s="11"/>
      <c r="D103" s="7"/>
      <c r="E103" s="2"/>
      <c r="F103" s="6">
        <f t="shared" si="79"/>
        <v>0</v>
      </c>
      <c r="G103" s="2"/>
      <c r="H103" s="7"/>
      <c r="I103" s="2"/>
      <c r="J103" s="6">
        <f t="shared" si="80"/>
        <v>0</v>
      </c>
      <c r="K103" s="2"/>
      <c r="L103" s="7">
        <f t="shared" si="81"/>
        <v>0</v>
      </c>
      <c r="M103" s="2"/>
      <c r="N103" s="6">
        <f t="shared" si="82"/>
        <v>0</v>
      </c>
      <c r="O103" s="11"/>
      <c r="P103" s="7"/>
      <c r="Q103" s="2"/>
      <c r="R103" s="6">
        <f t="shared" si="83"/>
        <v>0</v>
      </c>
      <c r="S103" s="2"/>
      <c r="T103" s="7">
        <v>1500</v>
      </c>
      <c r="U103" s="2"/>
      <c r="V103" s="6">
        <f t="shared" si="84"/>
        <v>3.2552012690944682E-3</v>
      </c>
      <c r="W103" s="2"/>
      <c r="X103" s="7">
        <f t="shared" si="85"/>
        <v>-1500</v>
      </c>
      <c r="Y103" s="2"/>
      <c r="Z103" s="6">
        <f t="shared" si="86"/>
        <v>-1</v>
      </c>
    </row>
    <row r="104" spans="1:26" s="25" customFormat="1" outlineLevel="1" collapsed="1" x14ac:dyDescent="0.25">
      <c r="A104" s="27"/>
      <c r="B104" s="13" t="str">
        <f>CONCATENATE("     ","Utilities                                         ")</f>
        <v xml:space="preserve">     Utilities                                         </v>
      </c>
      <c r="C104" s="13"/>
      <c r="D104" s="1">
        <f>SUM(OSRRefD22_21x_0)</f>
        <v>-1182</v>
      </c>
      <c r="E104" s="1"/>
      <c r="F104" s="5">
        <f t="shared" si="79"/>
        <v>-11.755345599204377</v>
      </c>
      <c r="G104" s="1"/>
      <c r="H104" s="1">
        <f>SUM(OSRRefH22_21x_0)</f>
        <v>850</v>
      </c>
      <c r="I104" s="1"/>
      <c r="J104" s="5">
        <f t="shared" si="80"/>
        <v>8.2959203591645523E-3</v>
      </c>
      <c r="K104" s="1"/>
      <c r="L104" s="1">
        <f t="shared" si="81"/>
        <v>-2032</v>
      </c>
      <c r="M104" s="1"/>
      <c r="N104" s="5">
        <f t="shared" si="82"/>
        <v>-2.3905882352941177</v>
      </c>
      <c r="O104" s="13"/>
      <c r="P104" s="1">
        <f>SUM(OSRRefP22_21x_0)</f>
        <v>4648</v>
      </c>
      <c r="Q104" s="1"/>
      <c r="R104" s="5">
        <f t="shared" si="83"/>
        <v>1.6476309987167759</v>
      </c>
      <c r="S104" s="1"/>
      <c r="T104" s="1">
        <f>SUM(OSRRefT22_21x_0)</f>
        <v>7944</v>
      </c>
      <c r="U104" s="1"/>
      <c r="V104" s="5">
        <f t="shared" si="84"/>
        <v>1.7239545921124304E-2</v>
      </c>
      <c r="W104" s="1"/>
      <c r="X104" s="1">
        <f t="shared" si="85"/>
        <v>-3296</v>
      </c>
      <c r="Y104" s="1"/>
      <c r="Z104" s="5">
        <f t="shared" si="86"/>
        <v>-0.41490433031218532</v>
      </c>
    </row>
    <row r="105" spans="1:26" s="24" customFormat="1" hidden="1" outlineLevel="2" x14ac:dyDescent="0.25">
      <c r="A105" s="26"/>
      <c r="B105" s="11" t="str">
        <f>CONCATENATE("          ", "6274", " - ", "UTILITIES")</f>
        <v xml:space="preserve">          6274 - UTILITIES</v>
      </c>
      <c r="C105" s="11"/>
      <c r="D105" s="7">
        <v>-1182</v>
      </c>
      <c r="E105" s="2"/>
      <c r="F105" s="6">
        <f t="shared" si="79"/>
        <v>-11.755345599204377</v>
      </c>
      <c r="G105" s="2"/>
      <c r="H105" s="7">
        <v>850</v>
      </c>
      <c r="I105" s="2"/>
      <c r="J105" s="6">
        <f t="shared" si="80"/>
        <v>8.2959203591645523E-3</v>
      </c>
      <c r="K105" s="2"/>
      <c r="L105" s="7">
        <f t="shared" si="81"/>
        <v>-2032</v>
      </c>
      <c r="M105" s="2"/>
      <c r="N105" s="6">
        <f t="shared" si="82"/>
        <v>-2.3905882352941177</v>
      </c>
      <c r="O105" s="11"/>
      <c r="P105" s="7">
        <v>4648</v>
      </c>
      <c r="Q105" s="2"/>
      <c r="R105" s="6">
        <f t="shared" si="83"/>
        <v>1.6476309987167759</v>
      </c>
      <c r="S105" s="2"/>
      <c r="T105" s="7">
        <v>7944</v>
      </c>
      <c r="U105" s="2"/>
      <c r="V105" s="6">
        <f t="shared" si="84"/>
        <v>1.7239545921124304E-2</v>
      </c>
      <c r="W105" s="2"/>
      <c r="X105" s="7">
        <f t="shared" si="85"/>
        <v>-3296</v>
      </c>
      <c r="Y105" s="2"/>
      <c r="Z105" s="6">
        <f t="shared" si="86"/>
        <v>-0.41490433031218532</v>
      </c>
    </row>
    <row r="106" spans="1:26" s="59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8" t="s">
        <v>293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9" t="s">
        <v>277</v>
      </c>
      <c r="C109" s="29"/>
      <c r="D109" s="20">
        <f>+D27-D29+D107</f>
        <v>-14033.840000000004</v>
      </c>
      <c r="E109" s="14"/>
      <c r="F109" s="21">
        <f>IF(D$12=0,0,D109/D$12)</f>
        <v>-139.57076081551472</v>
      </c>
      <c r="G109" s="14"/>
      <c r="H109" s="20">
        <f>+H27-H29+H107</f>
        <v>-10388.315806899998</v>
      </c>
      <c r="I109" s="14"/>
      <c r="J109" s="21">
        <f>IF(H$12=0,0,H109/H$12)</f>
        <v>-0.10138898894105015</v>
      </c>
      <c r="K109" s="16"/>
      <c r="L109" s="20">
        <f>+D109-H109</f>
        <v>-3645.5241931000055</v>
      </c>
      <c r="M109" s="16"/>
      <c r="N109" s="21">
        <f>IF(H109=0,0,L109/H109)</f>
        <v>0.35092543015284738</v>
      </c>
      <c r="O109" s="28"/>
      <c r="P109" s="20">
        <f>+P27-P29+P107</f>
        <v>-242929.23999999996</v>
      </c>
      <c r="Q109" s="14"/>
      <c r="R109" s="21">
        <f>IF(P$12=0,0,P109/P$12)</f>
        <v>-86.113972960134959</v>
      </c>
      <c r="S109" s="14"/>
      <c r="T109" s="20">
        <f>+T27-T29+T107</f>
        <v>-248397.343413</v>
      </c>
      <c r="U109" s="14"/>
      <c r="V109" s="21">
        <f>IF(T$12=0,0,T109/T$12)</f>
        <v>-0.53905556501179464</v>
      </c>
      <c r="W109" s="16"/>
      <c r="X109" s="20">
        <f>+P109-T109</f>
        <v>5468.1034130000335</v>
      </c>
      <c r="Y109" s="16"/>
      <c r="Z109" s="21">
        <f>IF(T109=0,0,X109/T109)</f>
        <v>-2.2013534194318833E-2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42.64</v>
      </c>
      <c r="E111" s="4"/>
      <c r="F111" s="12">
        <f>IF(D$12=0,0,D111/D$12)</f>
        <v>0.42406762804574838</v>
      </c>
      <c r="G111" s="4"/>
      <c r="H111" s="4">
        <v>19861</v>
      </c>
      <c r="I111" s="4"/>
      <c r="J111" s="12">
        <f>IF(H$12=0,0,H111/H$12)</f>
        <v>0.19384149912160845</v>
      </c>
      <c r="K111" s="4"/>
      <c r="L111" s="4">
        <f>+D111-H111</f>
        <v>-19818.36</v>
      </c>
      <c r="M111" s="4"/>
      <c r="N111" s="12">
        <f>IF(H111=0,0,L111/H111)</f>
        <v>-0.99785307889834352</v>
      </c>
      <c r="O111" s="10"/>
      <c r="P111" s="4">
        <v>581.39</v>
      </c>
      <c r="Q111" s="4"/>
      <c r="R111" s="12">
        <f>IF(P$12=0,0,P111/P$12)</f>
        <v>0.2060921227073895</v>
      </c>
      <c r="S111" s="4"/>
      <c r="T111" s="4">
        <v>81487</v>
      </c>
      <c r="U111" s="4"/>
      <c r="V111" s="12">
        <f>IF(T$12=0,0,T111/T$12)</f>
        <v>0.17683772387646729</v>
      </c>
      <c r="W111" s="4"/>
      <c r="X111" s="4">
        <f>+P111-T111</f>
        <v>-80905.61</v>
      </c>
      <c r="Y111" s="4"/>
      <c r="Z111" s="12">
        <f>IF(T111=0,0,X111/T111)</f>
        <v>-0.99286524230858908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126</v>
      </c>
      <c r="C113" s="29"/>
      <c r="D113" s="34">
        <f>+D109-D111</f>
        <v>-14076.480000000003</v>
      </c>
      <c r="E113" s="14"/>
      <c r="F113" s="30">
        <f>IF(D$12=0,0,D113/D$12)</f>
        <v>-139.99482844356046</v>
      </c>
      <c r="G113" s="14"/>
      <c r="H113" s="34">
        <f>+H109-H111</f>
        <v>-30249.315806899998</v>
      </c>
      <c r="I113" s="14"/>
      <c r="J113" s="30">
        <f>IF(H$12=0,0,H113/H$12)</f>
        <v>-0.29523048806265856</v>
      </c>
      <c r="K113" s="16"/>
      <c r="L113" s="34">
        <f>D113-H113</f>
        <v>16172.835806899995</v>
      </c>
      <c r="M113" s="16"/>
      <c r="N113" s="30">
        <f>IF(H113=0,0,L113/H113)</f>
        <v>-0.53465129294629876</v>
      </c>
      <c r="O113" s="28"/>
      <c r="P113" s="34">
        <f>+P109-P111</f>
        <v>-243510.62999999998</v>
      </c>
      <c r="Q113" s="14"/>
      <c r="R113" s="30">
        <f>IF(P$12=0,0,P113/P$12)</f>
        <v>-86.320065082842348</v>
      </c>
      <c r="S113" s="14"/>
      <c r="T113" s="34">
        <f>+T109-T111</f>
        <v>-329884.343413</v>
      </c>
      <c r="U113" s="14"/>
      <c r="V113" s="30">
        <f>IF(T$12=0,0,T113/T$12)</f>
        <v>-0.71589328888826198</v>
      </c>
      <c r="W113" s="16"/>
      <c r="X113" s="34">
        <f>P113-T113</f>
        <v>86373.71341300002</v>
      </c>
      <c r="Y113" s="16"/>
      <c r="Z113" s="30">
        <f>IF(T113=0,0,X113/T113)</f>
        <v>-0.26183029033561656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294</v>
      </c>
      <c r="C116" s="29"/>
      <c r="D116" s="31">
        <f>SUM(D113:D115)</f>
        <v>-14076.480000000003</v>
      </c>
      <c r="E116" s="14"/>
      <c r="F116" s="35">
        <f>IF(D$12=0,0,D116/D$12)</f>
        <v>-139.99482844356046</v>
      </c>
      <c r="G116" s="14"/>
      <c r="H116" s="31">
        <f>SUM(H113:H115)</f>
        <v>-30249.315806899998</v>
      </c>
      <c r="I116" s="14"/>
      <c r="J116" s="35">
        <f>IF(H$12=0,0,H116/H$12)</f>
        <v>-0.29523048806265856</v>
      </c>
      <c r="K116" s="16"/>
      <c r="L116" s="31">
        <f>+D116-H116</f>
        <v>16172.835806899995</v>
      </c>
      <c r="M116" s="16"/>
      <c r="N116" s="35">
        <f>IF(H116=0,0,L116/H116)</f>
        <v>-0.53465129294629876</v>
      </c>
      <c r="O116" s="28"/>
      <c r="P116" s="31">
        <f>SUM(P113:P115)</f>
        <v>-243510.62999999998</v>
      </c>
      <c r="Q116" s="14"/>
      <c r="R116" s="35">
        <f>IF(P$12=0,0,P116/P$12)</f>
        <v>-86.320065082842348</v>
      </c>
      <c r="S116" s="14"/>
      <c r="T116" s="31">
        <f>SUM(T113:T115)</f>
        <v>-329884.343413</v>
      </c>
      <c r="U116" s="14"/>
      <c r="V116" s="35">
        <f>IF(T$12=0,0,T116/T$12)</f>
        <v>-0.71589328888826198</v>
      </c>
      <c r="W116" s="16"/>
      <c r="X116" s="31">
        <f>+P116-T116</f>
        <v>86373.71341300002</v>
      </c>
      <c r="Y116" s="16"/>
      <c r="Z116" s="35">
        <f>IF(T116=0,0,X116/T116)</f>
        <v>-0.26183029033561656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>
        <v>44295.961766238426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3" t="s">
        <v>56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4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</v>
      </c>
      <c r="U13" s="2"/>
      <c r="V13" s="19"/>
      <c r="W13" s="2"/>
      <c r="X13" s="2">
        <f t="shared" si="2"/>
        <v>-2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0</v>
      </c>
      <c r="I18" s="14"/>
      <c r="J18" s="21">
        <f>IF(H$12=0,0,H18/H$12)</f>
        <v>0</v>
      </c>
      <c r="K18" s="16"/>
      <c r="L18" s="20">
        <f>+D18-H18</f>
        <v>0</v>
      </c>
      <c r="M18" s="16"/>
      <c r="N18" s="21">
        <f>IF(H18=0,0,L18/H18)</f>
        <v>0</v>
      </c>
      <c r="O18" s="28"/>
      <c r="P18" s="20">
        <f>P12-P15</f>
        <v>0</v>
      </c>
      <c r="Q18" s="14"/>
      <c r="R18" s="21">
        <f>IF(P$12=0,0,P18/P$12)</f>
        <v>0</v>
      </c>
      <c r="S18" s="14"/>
      <c r="T18" s="20">
        <f>T12-T15</f>
        <v>2</v>
      </c>
      <c r="U18" s="14"/>
      <c r="V18" s="21">
        <f>IF(T$12=0,0,T18/T$12)</f>
        <v>1</v>
      </c>
      <c r="W18" s="16"/>
      <c r="X18" s="20">
        <f>+P18-T18</f>
        <v>-2</v>
      </c>
      <c r="Y18" s="16"/>
      <c r="Z18" s="21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>
        <f>SUM(OSRRefD22x_0)</f>
        <v>950.26</v>
      </c>
      <c r="E20" s="22"/>
      <c r="F20" s="32">
        <f t="shared" ref="F20:F29" si="12">IF(D$12=0,0,D20/D$12)</f>
        <v>0</v>
      </c>
      <c r="G20" s="22"/>
      <c r="H20" s="22">
        <f>SUM(OSRRefH22x_0)</f>
        <v>0</v>
      </c>
      <c r="I20" s="22"/>
      <c r="J20" s="32">
        <f t="shared" ref="J20:J29" si="13">IF(H$12=0,0,H20/H$12)</f>
        <v>0</v>
      </c>
      <c r="K20" s="4"/>
      <c r="L20" s="22">
        <f t="shared" ref="L20:L29" si="14">+D20-H20</f>
        <v>950.26</v>
      </c>
      <c r="M20" s="4"/>
      <c r="N20" s="32">
        <f t="shared" ref="N20:N29" si="15">IF(H20=0,0,L20/H20)</f>
        <v>0</v>
      </c>
      <c r="O20" s="10"/>
      <c r="P20" s="22">
        <f>SUM(OSRRefP22x_0)</f>
        <v>8721.3599999999988</v>
      </c>
      <c r="Q20" s="22"/>
      <c r="R20" s="32">
        <f t="shared" ref="R20:R29" si="16">IF(P$12=0,0,P20/P$12)</f>
        <v>0</v>
      </c>
      <c r="S20" s="22"/>
      <c r="T20" s="22">
        <f>SUM(OSRRefT22x_0)</f>
        <v>0</v>
      </c>
      <c r="U20" s="22"/>
      <c r="V20" s="32">
        <f t="shared" ref="V20:V29" si="17">IF(T$12=0,0,T20/T$12)</f>
        <v>0</v>
      </c>
      <c r="W20" s="4"/>
      <c r="X20" s="22">
        <f t="shared" ref="X20:X29" si="18">+P20-T20</f>
        <v>8721.3599999999988</v>
      </c>
      <c r="Y20" s="4"/>
      <c r="Z20" s="32">
        <f t="shared" ref="Z20:Z29" si="19">IF(T20=0,0,X20/T20)</f>
        <v>0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3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3"/>
      <c r="P45" s="1">
        <f>SUM(OSRRefP22_4x_0)</f>
        <v>5029.3100000000004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5029.3100000000004</v>
      </c>
      <c r="Y45" s="1"/>
      <c r="Z45" s="5">
        <f t="shared" si="35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5029.3100000000004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5029.3100000000004</v>
      </c>
      <c r="Y46" s="2"/>
      <c r="Z46" s="6">
        <f t="shared" si="35"/>
        <v>0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5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48.23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48.23</v>
      </c>
      <c r="M51" s="1"/>
      <c r="N51" s="5">
        <f t="shared" si="31"/>
        <v>0</v>
      </c>
      <c r="O51" s="13"/>
      <c r="P51" s="1">
        <f>SUM(OSRRefP22_7x_0)</f>
        <v>1280.28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1280.28</v>
      </c>
      <c r="Y51" s="1"/>
      <c r="Z51" s="5">
        <f t="shared" si="35"/>
        <v>0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7">
        <v>48.23</v>
      </c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48.23</v>
      </c>
      <c r="M52" s="2"/>
      <c r="N52" s="6">
        <f t="shared" si="31"/>
        <v>0</v>
      </c>
      <c r="O52" s="11"/>
      <c r="P52" s="7">
        <v>262.58999999999997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262.58999999999997</v>
      </c>
      <c r="Y52" s="2"/>
      <c r="Z52" s="6">
        <f t="shared" si="35"/>
        <v>0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5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SUM(OSRRefD22_8x_0)</f>
        <v>283.86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283.86</v>
      </c>
      <c r="M54" s="1"/>
      <c r="N54" s="5">
        <f t="shared" ref="N54:N56" si="39">IF(H54=0,0,L54/H54)</f>
        <v>0</v>
      </c>
      <c r="O54" s="13"/>
      <c r="P54" s="1">
        <f>SUM(OSRRefP22_8x_0)</f>
        <v>1460.45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1460.45</v>
      </c>
      <c r="Y54" s="1"/>
      <c r="Z54" s="5">
        <f t="shared" ref="Z54:Z56" si="43">IF(T54=0,0,X54/T54)</f>
        <v>0</v>
      </c>
    </row>
    <row r="55" spans="1:26" s="24" customFormat="1" hidden="1" outlineLevel="2" x14ac:dyDescent="0.25">
      <c r="A55" s="26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283.86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283.86</v>
      </c>
      <c r="M55" s="2"/>
      <c r="N55" s="6">
        <f t="shared" si="39"/>
        <v>0</v>
      </c>
      <c r="O55" s="11"/>
      <c r="P55" s="7">
        <v>1633.49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1633.49</v>
      </c>
      <c r="Y55" s="2"/>
      <c r="Z55" s="6">
        <f t="shared" si="43"/>
        <v>0</v>
      </c>
    </row>
    <row r="56" spans="1:26" s="24" customFormat="1" hidden="1" outlineLevel="2" x14ac:dyDescent="0.25">
      <c r="A56" s="26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SUM(OSRRefD22_9x_0)</f>
        <v>0</v>
      </c>
      <c r="E57" s="1"/>
      <c r="F57" s="5">
        <f t="shared" ref="F57:F60" si="44">IF(D$12=0,0,D57/D$12)</f>
        <v>0</v>
      </c>
      <c r="G57" s="1"/>
      <c r="H57" s="1">
        <f>SUM(OSRRefH22_9x_0)</f>
        <v>0</v>
      </c>
      <c r="I57" s="1"/>
      <c r="J57" s="5">
        <f t="shared" ref="J57:J60" si="45">IF(H$12=0,0,H57/H$12)</f>
        <v>0</v>
      </c>
      <c r="K57" s="1"/>
      <c r="L57" s="1">
        <f t="shared" ref="L57:L60" si="46">+D57-H57</f>
        <v>0</v>
      </c>
      <c r="M57" s="1"/>
      <c r="N57" s="5">
        <f t="shared" ref="N57:N60" si="47">IF(H57=0,0,L57/H57)</f>
        <v>0</v>
      </c>
      <c r="O57" s="13"/>
      <c r="P57" s="1">
        <f>SUM(OSRRefP22_9x_0)</f>
        <v>0</v>
      </c>
      <c r="Q57" s="1"/>
      <c r="R57" s="5">
        <f t="shared" ref="R57:R60" si="48">IF(P$12=0,0,P57/P$12)</f>
        <v>0</v>
      </c>
      <c r="S57" s="1"/>
      <c r="T57" s="1">
        <f>SUM(OSRRefT22_9x_0)</f>
        <v>0</v>
      </c>
      <c r="U57" s="1"/>
      <c r="V57" s="5">
        <f t="shared" ref="V57:V60" si="49">IF(T$12=0,0,T57/T$12)</f>
        <v>0</v>
      </c>
      <c r="W57" s="1"/>
      <c r="X57" s="1">
        <f t="shared" ref="X57:X60" si="50">+P57-T57</f>
        <v>0</v>
      </c>
      <c r="Y57" s="1"/>
      <c r="Z57" s="5">
        <f t="shared" ref="Z57:Z60" si="51">IF(T57=0,0,X57/T57)</f>
        <v>0</v>
      </c>
    </row>
    <row r="58" spans="1:26" s="24" customFormat="1" hidden="1" outlineLevel="2" x14ac:dyDescent="0.25">
      <c r="A58" s="26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30</v>
      </c>
      <c r="E61" s="1"/>
      <c r="F61" s="5">
        <f t="shared" ref="F61:F62" si="52">IF(D$12=0,0,D61/D$12)</f>
        <v>0</v>
      </c>
      <c r="G61" s="1"/>
      <c r="H61" s="1">
        <f>SUM(OSRRefH22_10x_0)</f>
        <v>0</v>
      </c>
      <c r="I61" s="1"/>
      <c r="J61" s="5">
        <f t="shared" ref="J61:J62" si="53">IF(H$12=0,0,H61/H$12)</f>
        <v>0</v>
      </c>
      <c r="K61" s="1"/>
      <c r="L61" s="1">
        <f t="shared" ref="L61:L62" si="54">+D61-H61</f>
        <v>30</v>
      </c>
      <c r="M61" s="1"/>
      <c r="N61" s="5">
        <f t="shared" ref="N61:N62" si="55">IF(H61=0,0,L61/H61)</f>
        <v>0</v>
      </c>
      <c r="O61" s="13"/>
      <c r="P61" s="1">
        <f>SUM(OSRRefP22_10x_0)</f>
        <v>364.32</v>
      </c>
      <c r="Q61" s="1"/>
      <c r="R61" s="5">
        <f t="shared" ref="R61:R62" si="56">IF(P$12=0,0,P61/P$12)</f>
        <v>0</v>
      </c>
      <c r="S61" s="1"/>
      <c r="T61" s="1">
        <f>SUM(OSRRefT22_10x_0)</f>
        <v>0</v>
      </c>
      <c r="U61" s="1"/>
      <c r="V61" s="5">
        <f t="shared" ref="V61:V62" si="57">IF(T$12=0,0,T61/T$12)</f>
        <v>0</v>
      </c>
      <c r="W61" s="1"/>
      <c r="X61" s="1">
        <f t="shared" ref="X61:X62" si="58">+P61-T61</f>
        <v>364.32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52"/>
        <v>0</v>
      </c>
      <c r="G62" s="2"/>
      <c r="H62" s="7"/>
      <c r="I62" s="2"/>
      <c r="J62" s="6">
        <f t="shared" si="53"/>
        <v>0</v>
      </c>
      <c r="K62" s="2"/>
      <c r="L62" s="7">
        <f t="shared" si="54"/>
        <v>30</v>
      </c>
      <c r="M62" s="2"/>
      <c r="N62" s="6">
        <f t="shared" si="55"/>
        <v>0</v>
      </c>
      <c r="O62" s="11"/>
      <c r="P62" s="7">
        <v>364.32</v>
      </c>
      <c r="Q62" s="2"/>
      <c r="R62" s="6">
        <f t="shared" si="56"/>
        <v>0</v>
      </c>
      <c r="S62" s="2"/>
      <c r="T62" s="7"/>
      <c r="U62" s="2"/>
      <c r="V62" s="6">
        <f t="shared" si="57"/>
        <v>0</v>
      </c>
      <c r="W62" s="2"/>
      <c r="X62" s="7">
        <f t="shared" si="58"/>
        <v>364.32</v>
      </c>
      <c r="Y62" s="2"/>
      <c r="Z62" s="6">
        <f t="shared" si="59"/>
        <v>0</v>
      </c>
    </row>
    <row r="63" spans="1:26" s="59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293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9" t="s">
        <v>277</v>
      </c>
      <c r="C66" s="29"/>
      <c r="D66" s="20">
        <f>+D18-D20+D64</f>
        <v>-950.26</v>
      </c>
      <c r="E66" s="14"/>
      <c r="F66" s="21">
        <f>IF(D$12=0,0,D66/D$12)</f>
        <v>0</v>
      </c>
      <c r="G66" s="14"/>
      <c r="H66" s="20">
        <f>+H18-H20+H64</f>
        <v>0</v>
      </c>
      <c r="I66" s="14"/>
      <c r="J66" s="21">
        <f>IF(H$12=0,0,H66/H$12)</f>
        <v>0</v>
      </c>
      <c r="K66" s="16"/>
      <c r="L66" s="20">
        <f>+D66-H66</f>
        <v>-950.26</v>
      </c>
      <c r="M66" s="16"/>
      <c r="N66" s="21">
        <f>IF(H66=0,0,L66/H66)</f>
        <v>0</v>
      </c>
      <c r="O66" s="28"/>
      <c r="P66" s="20">
        <f>+P18-P20+P64</f>
        <v>-8721.3599999999988</v>
      </c>
      <c r="Q66" s="14"/>
      <c r="R66" s="21">
        <f>IF(P$12=0,0,P66/P$12)</f>
        <v>0</v>
      </c>
      <c r="S66" s="14"/>
      <c r="T66" s="20">
        <f>+T18-T20+T64</f>
        <v>2</v>
      </c>
      <c r="U66" s="14"/>
      <c r="V66" s="21">
        <f>IF(T$12=0,0,T66/T$12)</f>
        <v>1</v>
      </c>
      <c r="W66" s="16"/>
      <c r="X66" s="20">
        <f>+P66-T66</f>
        <v>-8723.3599999999988</v>
      </c>
      <c r="Y66" s="16"/>
      <c r="Z66" s="21">
        <f>IF(T66=0,0,X66/T66)</f>
        <v>-4361.6799999999994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2"/>
      <c r="B68" s="10" t="s">
        <v>128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126</v>
      </c>
      <c r="C70" s="29"/>
      <c r="D70" s="34">
        <f>+D66-D68</f>
        <v>-950.26</v>
      </c>
      <c r="E70" s="14"/>
      <c r="F70" s="30">
        <f>IF(D$12=0,0,D70/D$12)</f>
        <v>0</v>
      </c>
      <c r="G70" s="14"/>
      <c r="H70" s="34">
        <f>+H66-H68</f>
        <v>0</v>
      </c>
      <c r="I70" s="14"/>
      <c r="J70" s="30">
        <f>IF(H$12=0,0,H70/H$12)</f>
        <v>0</v>
      </c>
      <c r="K70" s="16"/>
      <c r="L70" s="34">
        <f>D70-H70</f>
        <v>-950.26</v>
      </c>
      <c r="M70" s="16"/>
      <c r="N70" s="30">
        <f>IF(H70=0,0,L70/H70)</f>
        <v>0</v>
      </c>
      <c r="O70" s="28"/>
      <c r="P70" s="34">
        <f>+P66-P68</f>
        <v>-8721.3599999999988</v>
      </c>
      <c r="Q70" s="14"/>
      <c r="R70" s="30">
        <f>IF(P$12=0,0,P70/P$12)</f>
        <v>0</v>
      </c>
      <c r="S70" s="14"/>
      <c r="T70" s="34">
        <f>+T66-T68</f>
        <v>2</v>
      </c>
      <c r="U70" s="14"/>
      <c r="V70" s="30">
        <f>IF(T$12=0,0,T70/T$12)</f>
        <v>1</v>
      </c>
      <c r="W70" s="16"/>
      <c r="X70" s="34">
        <f>P70-T70</f>
        <v>-8723.3599999999988</v>
      </c>
      <c r="Y70" s="16"/>
      <c r="Z70" s="30">
        <f>IF(T70=0,0,X70/T70)</f>
        <v>-4361.6799999999994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294</v>
      </c>
      <c r="C73" s="29"/>
      <c r="D73" s="31">
        <f>SUM(D70:D72)</f>
        <v>-950.26</v>
      </c>
      <c r="E73" s="14"/>
      <c r="F73" s="35">
        <f>IF(D$12=0,0,D73/D$12)</f>
        <v>0</v>
      </c>
      <c r="G73" s="14"/>
      <c r="H73" s="31">
        <f>SUM(H70:H72)</f>
        <v>0</v>
      </c>
      <c r="I73" s="14"/>
      <c r="J73" s="35">
        <f>IF(H$12=0,0,H73/H$12)</f>
        <v>0</v>
      </c>
      <c r="K73" s="16"/>
      <c r="L73" s="31">
        <f>+D73-H73</f>
        <v>-950.26</v>
      </c>
      <c r="M73" s="16"/>
      <c r="N73" s="35">
        <f>IF(H73=0,0,L73/H73)</f>
        <v>0</v>
      </c>
      <c r="O73" s="28"/>
      <c r="P73" s="31">
        <f>SUM(P70:P72)</f>
        <v>-8721.3599999999988</v>
      </c>
      <c r="Q73" s="14"/>
      <c r="R73" s="35">
        <f>IF(P$12=0,0,P73/P$12)</f>
        <v>0</v>
      </c>
      <c r="S73" s="14"/>
      <c r="T73" s="31">
        <f>SUM(T70:T72)</f>
        <v>2</v>
      </c>
      <c r="U73" s="14"/>
      <c r="V73" s="35">
        <f>IF(T$12=0,0,T73/T$12)</f>
        <v>1</v>
      </c>
      <c r="W73" s="16"/>
      <c r="X73" s="31">
        <f>+P73-T73</f>
        <v>-8723.3599999999988</v>
      </c>
      <c r="Y73" s="16"/>
      <c r="Z73" s="35">
        <f>IF(T73=0,0,X73/T73)</f>
        <v>-4361.6799999999994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6">
        <v>44295.961797766206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3" t="s">
        <v>56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34718</v>
      </c>
      <c r="I12" s="4"/>
      <c r="J12" s="12"/>
      <c r="K12" s="4"/>
      <c r="L12" s="4">
        <f t="shared" ref="L12:L17" si="0">+D12-H12</f>
        <v>-34718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155995</v>
      </c>
      <c r="U12" s="4"/>
      <c r="V12" s="12"/>
      <c r="W12" s="4"/>
      <c r="X12" s="4">
        <f t="shared" ref="X12:X17" si="2">+P12-T12</f>
        <v>-155995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7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7" si="5">0</f>
        <v>0</v>
      </c>
      <c r="Q13" s="2"/>
      <c r="R13" s="19"/>
      <c r="S13" s="2"/>
      <c r="T13" s="2"/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34718</v>
      </c>
      <c r="I14" s="2"/>
      <c r="J14" s="19"/>
      <c r="K14" s="2"/>
      <c r="L14" s="2">
        <f t="shared" si="0"/>
        <v>-34718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155995</v>
      </c>
      <c r="U14" s="2"/>
      <c r="V14" s="19"/>
      <c r="W14" s="2"/>
      <c r="X14" s="2">
        <f t="shared" si="2"/>
        <v>-155995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16456</v>
      </c>
      <c r="I19" s="4"/>
      <c r="J19" s="12">
        <f t="shared" ref="J19:J21" si="7">IF(H$12=0,0,H19/H$12)</f>
        <v>0.47399043723716805</v>
      </c>
      <c r="K19" s="4"/>
      <c r="L19" s="4">
        <f t="shared" ref="L19:L21" si="8">+D19-H19</f>
        <v>-16456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73942</v>
      </c>
      <c r="U19" s="4"/>
      <c r="V19" s="12">
        <f t="shared" ref="V19:V21" si="11">IF(T$12=0,0,T19/T$12)</f>
        <v>0.47400237187089328</v>
      </c>
      <c r="W19" s="4"/>
      <c r="X19" s="4">
        <f t="shared" ref="X19:X21" si="12">+P19-T19</f>
        <v>-74555.59</v>
      </c>
      <c r="Y19" s="4"/>
      <c r="Z19" s="12">
        <f t="shared" ref="Z19:Z21" si="13">IF(T19=0,0,X19/T19)</f>
        <v>-1.0082982607990045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16456</v>
      </c>
      <c r="I20" s="2"/>
      <c r="J20" s="19">
        <f t="shared" si="7"/>
        <v>0.47399043723716805</v>
      </c>
      <c r="K20" s="2"/>
      <c r="L20" s="2">
        <f t="shared" si="8"/>
        <v>-16456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73942</v>
      </c>
      <c r="U20" s="2"/>
      <c r="V20" s="19">
        <f t="shared" si="11"/>
        <v>0.47400237187089328</v>
      </c>
      <c r="W20" s="2"/>
      <c r="X20" s="2">
        <f t="shared" si="12"/>
        <v>-73942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-613.59</v>
      </c>
      <c r="Q21" s="2"/>
      <c r="R21" s="19">
        <f t="shared" si="10"/>
        <v>0</v>
      </c>
      <c r="S21" s="2"/>
      <c r="T21" s="2"/>
      <c r="U21" s="2"/>
      <c r="V21" s="19">
        <f t="shared" si="11"/>
        <v>0</v>
      </c>
      <c r="W21" s="2"/>
      <c r="X21" s="2">
        <f t="shared" si="12"/>
        <v>-613.59</v>
      </c>
      <c r="Y21" s="2"/>
      <c r="Z21" s="19">
        <f t="shared" si="13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D12-D19</f>
        <v>0</v>
      </c>
      <c r="E23" s="14"/>
      <c r="F23" s="21">
        <f>IF(D$12=0,0,D23/D$12)</f>
        <v>0</v>
      </c>
      <c r="G23" s="14"/>
      <c r="H23" s="20">
        <f>H12-H19</f>
        <v>18262</v>
      </c>
      <c r="I23" s="14"/>
      <c r="J23" s="21">
        <f>IF(H$12=0,0,H23/H$12)</f>
        <v>0.52600956276283195</v>
      </c>
      <c r="K23" s="16"/>
      <c r="L23" s="20">
        <f>+D23-H23</f>
        <v>-18262</v>
      </c>
      <c r="M23" s="16"/>
      <c r="N23" s="21">
        <f>IF(H23=0,0,L23/H23)</f>
        <v>-1</v>
      </c>
      <c r="O23" s="28"/>
      <c r="P23" s="20">
        <f>P12-P19</f>
        <v>613.59</v>
      </c>
      <c r="Q23" s="14"/>
      <c r="R23" s="21">
        <f>IF(P$12=0,0,P23/P$12)</f>
        <v>0</v>
      </c>
      <c r="S23" s="14"/>
      <c r="T23" s="20">
        <f>T12-T19</f>
        <v>82053</v>
      </c>
      <c r="U23" s="14"/>
      <c r="V23" s="21">
        <f>IF(T$12=0,0,T23/T$12)</f>
        <v>0.52599762812910666</v>
      </c>
      <c r="W23" s="16"/>
      <c r="X23" s="20">
        <f>+P23-T23</f>
        <v>-81439.41</v>
      </c>
      <c r="Y23" s="16"/>
      <c r="Z23" s="21">
        <f>IF(T23=0,0,X23/T23)</f>
        <v>-0.99252202844502946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144</v>
      </c>
      <c r="E25" s="22"/>
      <c r="F25" s="32">
        <f t="shared" ref="F25:F35" si="14">IF(D$12=0,0,D25/D$12)</f>
        <v>0</v>
      </c>
      <c r="G25" s="22"/>
      <c r="H25" s="22">
        <f>SUM(OSRRefH22x_0)</f>
        <v>20503.9661314</v>
      </c>
      <c r="I25" s="22"/>
      <c r="J25" s="32">
        <f t="shared" ref="J25:J35" si="15">IF(H$12=0,0,H25/H$12)</f>
        <v>0.59058603984676539</v>
      </c>
      <c r="K25" s="4"/>
      <c r="L25" s="22">
        <f t="shared" ref="L25:L35" si="16">+D25-H25</f>
        <v>-20359.9661314</v>
      </c>
      <c r="M25" s="4"/>
      <c r="N25" s="32">
        <f t="shared" ref="N25:N35" si="17">IF(H25=0,0,L25/H25)</f>
        <v>-0.99297696850076844</v>
      </c>
      <c r="O25" s="10"/>
      <c r="P25" s="22">
        <f>SUM(OSRRefP22x_0)</f>
        <v>46648.68</v>
      </c>
      <c r="Q25" s="22"/>
      <c r="R25" s="32">
        <f t="shared" ref="R25:R35" si="18">IF(P$12=0,0,P25/P$12)</f>
        <v>0</v>
      </c>
      <c r="S25" s="22"/>
      <c r="T25" s="22">
        <f>SUM(OSRRefT22x_0)</f>
        <v>146942.35844019998</v>
      </c>
      <c r="U25" s="22"/>
      <c r="V25" s="32">
        <f t="shared" ref="V25:V35" si="19">IF(T$12=0,0,T25/T$12)</f>
        <v>0.94196838642392378</v>
      </c>
      <c r="W25" s="4"/>
      <c r="X25" s="22">
        <f t="shared" ref="X25:X35" si="20">+P25-T25</f>
        <v>-100293.67844019999</v>
      </c>
      <c r="Y25" s="4"/>
      <c r="Z25" s="32">
        <f t="shared" ref="Z25:Z35" si="21">IF(T25=0,0,X25/T25)</f>
        <v>-0.68253755761661972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4"/>
        <v>0</v>
      </c>
      <c r="G26" s="1"/>
      <c r="H26" s="1">
        <f>SUM(OSRRefH22_0x_0)</f>
        <v>3850.4061314</v>
      </c>
      <c r="I26" s="1"/>
      <c r="J26" s="5">
        <f t="shared" si="15"/>
        <v>0.1109051826545308</v>
      </c>
      <c r="K26" s="1"/>
      <c r="L26" s="1">
        <f t="shared" si="16"/>
        <v>-3850.4061314</v>
      </c>
      <c r="M26" s="1"/>
      <c r="N26" s="5">
        <f t="shared" si="17"/>
        <v>-1</v>
      </c>
      <c r="O26" s="13"/>
      <c r="P26" s="1">
        <f>SUM(OSRRefP22_0x_0)</f>
        <v>21787.579999999998</v>
      </c>
      <c r="Q26" s="1"/>
      <c r="R26" s="5">
        <f t="shared" si="18"/>
        <v>0</v>
      </c>
      <c r="S26" s="1"/>
      <c r="T26" s="1">
        <f>SUM(OSRRefT22_0x_0)</f>
        <v>34037.163440199998</v>
      </c>
      <c r="U26" s="1"/>
      <c r="V26" s="5">
        <f t="shared" si="19"/>
        <v>0.21819393852495272</v>
      </c>
      <c r="W26" s="1"/>
      <c r="X26" s="1">
        <f t="shared" si="20"/>
        <v>-12249.5834402</v>
      </c>
      <c r="Y26" s="1"/>
      <c r="Z26" s="5">
        <f t="shared" si="21"/>
        <v>-0.35988849252145622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4"/>
        <v>0</v>
      </c>
      <c r="G27" s="2"/>
      <c r="H27" s="7">
        <v>644.93208540000001</v>
      </c>
      <c r="I27" s="2"/>
      <c r="J27" s="6">
        <f t="shared" si="15"/>
        <v>1.8576302937957256E-2</v>
      </c>
      <c r="K27" s="2"/>
      <c r="L27" s="7">
        <f t="shared" si="16"/>
        <v>-644.93208540000001</v>
      </c>
      <c r="M27" s="2"/>
      <c r="N27" s="6">
        <f t="shared" si="17"/>
        <v>-1</v>
      </c>
      <c r="O27" s="11"/>
      <c r="P27" s="7">
        <v>1924.35</v>
      </c>
      <c r="Q27" s="2"/>
      <c r="R27" s="6">
        <f t="shared" si="18"/>
        <v>0</v>
      </c>
      <c r="S27" s="2"/>
      <c r="T27" s="7">
        <v>5219.7240582000004</v>
      </c>
      <c r="U27" s="2"/>
      <c r="V27" s="6">
        <f t="shared" si="19"/>
        <v>3.3460842066732908E-2</v>
      </c>
      <c r="W27" s="2"/>
      <c r="X27" s="7">
        <f t="shared" si="20"/>
        <v>-3295.3740582000005</v>
      </c>
      <c r="Y27" s="2"/>
      <c r="Z27" s="6">
        <f t="shared" si="21"/>
        <v>-0.63133108598395837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4"/>
        <v>0</v>
      </c>
      <c r="G28" s="2"/>
      <c r="H28" s="7">
        <v>257.33240999999998</v>
      </c>
      <c r="I28" s="2"/>
      <c r="J28" s="6">
        <f t="shared" si="15"/>
        <v>7.4120747162854999E-3</v>
      </c>
      <c r="K28" s="2"/>
      <c r="L28" s="7">
        <f t="shared" si="16"/>
        <v>-257.33240999999998</v>
      </c>
      <c r="M28" s="2"/>
      <c r="N28" s="6">
        <f t="shared" si="17"/>
        <v>-1</v>
      </c>
      <c r="O28" s="11"/>
      <c r="P28" s="7">
        <v>499.06</v>
      </c>
      <c r="Q28" s="2"/>
      <c r="R28" s="6">
        <f t="shared" si="18"/>
        <v>0</v>
      </c>
      <c r="S28" s="2"/>
      <c r="T28" s="7">
        <v>1790.31197</v>
      </c>
      <c r="U28" s="2"/>
      <c r="V28" s="6">
        <f t="shared" si="19"/>
        <v>1.1476726625853393E-2</v>
      </c>
      <c r="W28" s="2"/>
      <c r="X28" s="7">
        <f t="shared" si="20"/>
        <v>-1291.25197</v>
      </c>
      <c r="Y28" s="2"/>
      <c r="Z28" s="6">
        <f t="shared" si="21"/>
        <v>-0.72124411367254615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4"/>
        <v>0</v>
      </c>
      <c r="G29" s="2"/>
      <c r="H29" s="7">
        <v>1980</v>
      </c>
      <c r="I29" s="2"/>
      <c r="J29" s="6">
        <f t="shared" si="15"/>
        <v>5.7030934961691343E-2</v>
      </c>
      <c r="K29" s="2"/>
      <c r="L29" s="7">
        <f t="shared" si="16"/>
        <v>-1980</v>
      </c>
      <c r="M29" s="2"/>
      <c r="N29" s="6">
        <f t="shared" si="17"/>
        <v>-1</v>
      </c>
      <c r="O29" s="11"/>
      <c r="P29" s="7">
        <v>12083.19</v>
      </c>
      <c r="Q29" s="2"/>
      <c r="R29" s="6">
        <f t="shared" si="18"/>
        <v>0</v>
      </c>
      <c r="S29" s="2"/>
      <c r="T29" s="7">
        <v>17820</v>
      </c>
      <c r="U29" s="2"/>
      <c r="V29" s="6">
        <f t="shared" si="19"/>
        <v>0.11423443059072406</v>
      </c>
      <c r="W29" s="2"/>
      <c r="X29" s="7">
        <f t="shared" si="20"/>
        <v>-5736.8099999999995</v>
      </c>
      <c r="Y29" s="2"/>
      <c r="Z29" s="6">
        <f t="shared" si="21"/>
        <v>-0.3219309764309764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4"/>
        <v>0</v>
      </c>
      <c r="G30" s="2"/>
      <c r="H30" s="7">
        <v>36.165635999999999</v>
      </c>
      <c r="I30" s="2"/>
      <c r="J30" s="6">
        <f t="shared" si="15"/>
        <v>1.0416969871536379E-3</v>
      </c>
      <c r="K30" s="2"/>
      <c r="L30" s="7">
        <f t="shared" si="16"/>
        <v>-36.165635999999999</v>
      </c>
      <c r="M30" s="2"/>
      <c r="N30" s="6">
        <f t="shared" si="17"/>
        <v>-1</v>
      </c>
      <c r="O30" s="11"/>
      <c r="P30" s="7">
        <v>70.14</v>
      </c>
      <c r="Q30" s="2"/>
      <c r="R30" s="6">
        <f t="shared" si="18"/>
        <v>0</v>
      </c>
      <c r="S30" s="2"/>
      <c r="T30" s="7">
        <v>251.611412</v>
      </c>
      <c r="U30" s="2"/>
      <c r="V30" s="6">
        <f t="shared" si="19"/>
        <v>1.6129453636334497E-3</v>
      </c>
      <c r="W30" s="2"/>
      <c r="X30" s="7">
        <f t="shared" si="20"/>
        <v>-181.47141199999999</v>
      </c>
      <c r="Y30" s="2"/>
      <c r="Z30" s="6">
        <f t="shared" si="21"/>
        <v>-0.72123680940195189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4"/>
        <v>0</v>
      </c>
      <c r="G31" s="2"/>
      <c r="H31" s="7">
        <v>478.67599999999999</v>
      </c>
      <c r="I31" s="2"/>
      <c r="J31" s="6">
        <f t="shared" si="15"/>
        <v>1.3787545365516447E-2</v>
      </c>
      <c r="K31" s="2"/>
      <c r="L31" s="7">
        <f t="shared" si="16"/>
        <v>-478.67599999999999</v>
      </c>
      <c r="M31" s="2"/>
      <c r="N31" s="6">
        <f t="shared" si="17"/>
        <v>-1</v>
      </c>
      <c r="O31" s="11"/>
      <c r="P31" s="7">
        <v>3490.92</v>
      </c>
      <c r="Q31" s="2"/>
      <c r="R31" s="6">
        <f t="shared" si="18"/>
        <v>0</v>
      </c>
      <c r="S31" s="2"/>
      <c r="T31" s="7">
        <v>4667.0910000000003</v>
      </c>
      <c r="U31" s="2"/>
      <c r="V31" s="6">
        <f t="shared" si="19"/>
        <v>2.9918208916952467E-2</v>
      </c>
      <c r="W31" s="2"/>
      <c r="X31" s="7">
        <f t="shared" si="20"/>
        <v>-1176.1710000000003</v>
      </c>
      <c r="Y31" s="2"/>
      <c r="Z31" s="6">
        <f t="shared" si="21"/>
        <v>-0.25201372760891105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4"/>
        <v>0</v>
      </c>
      <c r="G32" s="2"/>
      <c r="H32" s="7">
        <v>0</v>
      </c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0</v>
      </c>
      <c r="U32" s="2"/>
      <c r="V32" s="6">
        <f t="shared" si="19"/>
        <v>0</v>
      </c>
      <c r="W32" s="2"/>
      <c r="X32" s="7">
        <f t="shared" si="20"/>
        <v>0</v>
      </c>
      <c r="Y32" s="2"/>
      <c r="Z32" s="6">
        <f t="shared" si="21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>
        <v>166.98</v>
      </c>
      <c r="I33" s="2"/>
      <c r="J33" s="6">
        <f t="shared" si="15"/>
        <v>4.8096088484359699E-3</v>
      </c>
      <c r="K33" s="2"/>
      <c r="L33" s="7">
        <f t="shared" si="16"/>
        <v>-166.98</v>
      </c>
      <c r="M33" s="2"/>
      <c r="N33" s="6">
        <f t="shared" si="17"/>
        <v>-1</v>
      </c>
      <c r="O33" s="11"/>
      <c r="P33" s="7">
        <v>2035.3</v>
      </c>
      <c r="Q33" s="2"/>
      <c r="R33" s="6">
        <f t="shared" si="18"/>
        <v>0</v>
      </c>
      <c r="S33" s="2"/>
      <c r="T33" s="7">
        <v>1628.0550000000001</v>
      </c>
      <c r="U33" s="2"/>
      <c r="V33" s="6">
        <f t="shared" si="19"/>
        <v>1.0436584505913652E-2</v>
      </c>
      <c r="W33" s="2"/>
      <c r="X33" s="7">
        <f t="shared" si="20"/>
        <v>407.24499999999989</v>
      </c>
      <c r="Y33" s="2"/>
      <c r="Z33" s="6">
        <f t="shared" si="21"/>
        <v>0.25014204065587459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>
        <v>111.32</v>
      </c>
      <c r="I34" s="2"/>
      <c r="J34" s="6">
        <f t="shared" si="15"/>
        <v>3.2064058989573129E-3</v>
      </c>
      <c r="K34" s="2"/>
      <c r="L34" s="7">
        <f t="shared" si="16"/>
        <v>-111.32</v>
      </c>
      <c r="M34" s="2"/>
      <c r="N34" s="6">
        <f t="shared" si="17"/>
        <v>-1</v>
      </c>
      <c r="O34" s="11"/>
      <c r="P34" s="7">
        <v>1283.8</v>
      </c>
      <c r="Q34" s="2"/>
      <c r="R34" s="6">
        <f t="shared" si="18"/>
        <v>0</v>
      </c>
      <c r="S34" s="2"/>
      <c r="T34" s="7">
        <v>1085.3699999999999</v>
      </c>
      <c r="U34" s="2"/>
      <c r="V34" s="6">
        <f t="shared" si="19"/>
        <v>6.957723003942433E-3</v>
      </c>
      <c r="W34" s="2"/>
      <c r="X34" s="7">
        <f t="shared" si="20"/>
        <v>198.43000000000006</v>
      </c>
      <c r="Y34" s="2"/>
      <c r="Z34" s="6">
        <f t="shared" si="21"/>
        <v>0.18282244764458211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4"/>
        <v>0</v>
      </c>
      <c r="G35" s="2"/>
      <c r="H35" s="7">
        <v>175</v>
      </c>
      <c r="I35" s="2"/>
      <c r="J35" s="6">
        <f t="shared" si="15"/>
        <v>5.0406129385333256E-3</v>
      </c>
      <c r="K35" s="2"/>
      <c r="L35" s="7">
        <f t="shared" si="16"/>
        <v>-175</v>
      </c>
      <c r="M35" s="2"/>
      <c r="N35" s="6">
        <f t="shared" si="17"/>
        <v>-1</v>
      </c>
      <c r="O35" s="11"/>
      <c r="P35" s="7">
        <v>400.82</v>
      </c>
      <c r="Q35" s="2"/>
      <c r="R35" s="6">
        <f t="shared" si="18"/>
        <v>0</v>
      </c>
      <c r="S35" s="2"/>
      <c r="T35" s="7">
        <v>1575</v>
      </c>
      <c r="U35" s="2"/>
      <c r="V35" s="6">
        <f t="shared" si="19"/>
        <v>1.009647745120036E-2</v>
      </c>
      <c r="W35" s="2"/>
      <c r="X35" s="7">
        <f t="shared" si="20"/>
        <v>-1174.18</v>
      </c>
      <c r="Y35" s="2"/>
      <c r="Z35" s="6">
        <f t="shared" si="21"/>
        <v>-0.74551111111111112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2">IF(D$12=0,0,D36/D$12)</f>
        <v>0</v>
      </c>
      <c r="G36" s="1"/>
      <c r="H36" s="1">
        <f>SUM(OSRRefH22_1x_0)</f>
        <v>13631.56</v>
      </c>
      <c r="I36" s="1"/>
      <c r="J36" s="5">
        <f t="shared" ref="J36:J46" si="23">IF(H$12=0,0,H36/H$12)</f>
        <v>0.3926366726193905</v>
      </c>
      <c r="K36" s="1"/>
      <c r="L36" s="1">
        <f t="shared" ref="L36:L46" si="24">+D36-H36</f>
        <v>-13631.56</v>
      </c>
      <c r="M36" s="1"/>
      <c r="N36" s="5">
        <f t="shared" ref="N36:N46" si="25">IF(H36=0,0,L36/H36)</f>
        <v>-1</v>
      </c>
      <c r="O36" s="13"/>
      <c r="P36" s="1">
        <f>SUM(OSRRefP22_1x_0)</f>
        <v>23136.42</v>
      </c>
      <c r="Q36" s="1"/>
      <c r="R36" s="5">
        <f t="shared" ref="R36:R46" si="26">IF(P$12=0,0,P36/P$12)</f>
        <v>0</v>
      </c>
      <c r="S36" s="1"/>
      <c r="T36" s="1">
        <f>SUM(OSRRefT22_1x_0)</f>
        <v>94060.195000000007</v>
      </c>
      <c r="U36" s="1"/>
      <c r="V36" s="5">
        <f t="shared" ref="V36:V46" si="27">IF(T$12=0,0,T36/T$12)</f>
        <v>0.60296929388762466</v>
      </c>
      <c r="W36" s="1"/>
      <c r="X36" s="1">
        <f t="shared" ref="X36:X46" si="28">+P36-T36</f>
        <v>-70923.775000000009</v>
      </c>
      <c r="Y36" s="1"/>
      <c r="Z36" s="5">
        <f t="shared" ref="Z36:Z46" si="29">IF(T36=0,0,X36/T36)</f>
        <v>-0.75402538767860305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2"/>
        <v>0</v>
      </c>
      <c r="G37" s="2"/>
      <c r="H37" s="7">
        <v>5287.7</v>
      </c>
      <c r="I37" s="2"/>
      <c r="J37" s="6">
        <f t="shared" si="23"/>
        <v>0.15230428020047238</v>
      </c>
      <c r="K37" s="2"/>
      <c r="L37" s="7">
        <f t="shared" si="24"/>
        <v>-5287.7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51555.074999999997</v>
      </c>
      <c r="U37" s="2"/>
      <c r="V37" s="6">
        <f t="shared" si="27"/>
        <v>0.33049184268726561</v>
      </c>
      <c r="W37" s="2"/>
      <c r="X37" s="7">
        <f t="shared" si="28"/>
        <v>-51555.074999999997</v>
      </c>
      <c r="Y37" s="2"/>
      <c r="Z37" s="6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23136.42</v>
      </c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23136.42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2"/>
        <v>0</v>
      </c>
      <c r="G40" s="2"/>
      <c r="H40" s="7">
        <v>2861.18</v>
      </c>
      <c r="I40" s="2"/>
      <c r="J40" s="6">
        <f t="shared" si="23"/>
        <v>8.2412005299844451E-2</v>
      </c>
      <c r="K40" s="2"/>
      <c r="L40" s="7">
        <f t="shared" si="24"/>
        <v>-2861.18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13936.44</v>
      </c>
      <c r="U40" s="2"/>
      <c r="V40" s="6">
        <f t="shared" si="27"/>
        <v>8.9339017276194754E-2</v>
      </c>
      <c r="W40" s="2"/>
      <c r="X40" s="7">
        <f t="shared" si="28"/>
        <v>-13936.44</v>
      </c>
      <c r="Y40" s="2"/>
      <c r="Z40" s="6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2861.18</v>
      </c>
      <c r="I41" s="2"/>
      <c r="J41" s="6">
        <f t="shared" si="23"/>
        <v>8.2412005299844451E-2</v>
      </c>
      <c r="K41" s="2"/>
      <c r="L41" s="7">
        <f t="shared" si="24"/>
        <v>-2861.18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19760.439999999999</v>
      </c>
      <c r="U41" s="2"/>
      <c r="V41" s="6">
        <f t="shared" si="27"/>
        <v>0.12667354722907784</v>
      </c>
      <c r="W41" s="2"/>
      <c r="X41" s="7">
        <f t="shared" si="28"/>
        <v>-19760.439999999999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2621.5</v>
      </c>
      <c r="I44" s="2"/>
      <c r="J44" s="6">
        <f t="shared" si="23"/>
        <v>7.5508381819229212E-2</v>
      </c>
      <c r="K44" s="2"/>
      <c r="L44" s="7">
        <f t="shared" si="24"/>
        <v>-2621.5</v>
      </c>
      <c r="M44" s="2"/>
      <c r="N44" s="6">
        <f t="shared" si="25"/>
        <v>-1</v>
      </c>
      <c r="O44" s="11"/>
      <c r="P44" s="7"/>
      <c r="Q44" s="2"/>
      <c r="R44" s="6">
        <f t="shared" si="26"/>
        <v>0</v>
      </c>
      <c r="S44" s="2"/>
      <c r="T44" s="7">
        <v>8808.24</v>
      </c>
      <c r="U44" s="2"/>
      <c r="V44" s="6">
        <f t="shared" si="27"/>
        <v>5.6464886695086376E-2</v>
      </c>
      <c r="W44" s="2"/>
      <c r="X44" s="7">
        <f t="shared" si="28"/>
        <v>-8808.24</v>
      </c>
      <c r="Y44" s="2"/>
      <c r="Z44" s="6">
        <f t="shared" si="29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/>
      <c r="Q45" s="2"/>
      <c r="R45" s="6">
        <f t="shared" si="26"/>
        <v>0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0</v>
      </c>
      <c r="Y45" s="2"/>
      <c r="Z45" s="6">
        <f t="shared" si="29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/>
      <c r="Q46" s="2"/>
      <c r="R46" s="6">
        <f t="shared" si="26"/>
        <v>0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0</v>
      </c>
      <c r="Y46" s="2"/>
      <c r="Z46" s="6">
        <f t="shared" si="29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7" si="30">IF(D$12=0,0,D47/D$12)</f>
        <v>0</v>
      </c>
      <c r="G47" s="1"/>
      <c r="H47" s="1">
        <f>SUM(OSRRefH22_2x_0)</f>
        <v>100</v>
      </c>
      <c r="I47" s="1"/>
      <c r="J47" s="5">
        <f t="shared" ref="J47:J57" si="31">IF(H$12=0,0,H47/H$12)</f>
        <v>2.8803502505904718E-3</v>
      </c>
      <c r="K47" s="1"/>
      <c r="L47" s="1">
        <f t="shared" ref="L47:L57" si="32">+D47-H47</f>
        <v>-100</v>
      </c>
      <c r="M47" s="1"/>
      <c r="N47" s="5">
        <f t="shared" ref="N47:N57" si="33">IF(H47=0,0,L47/H47)</f>
        <v>-1</v>
      </c>
      <c r="O47" s="13"/>
      <c r="P47" s="1">
        <f>SUM(OSRRefP22_2x_0)</f>
        <v>0</v>
      </c>
      <c r="Q47" s="1"/>
      <c r="R47" s="5">
        <f t="shared" ref="R47:R57" si="34">IF(P$12=0,0,P47/P$12)</f>
        <v>0</v>
      </c>
      <c r="S47" s="1"/>
      <c r="T47" s="1">
        <f>SUM(OSRRefT22_2x_0)</f>
        <v>900</v>
      </c>
      <c r="U47" s="1"/>
      <c r="V47" s="5">
        <f t="shared" ref="V47:V57" si="35">IF(T$12=0,0,T47/T$12)</f>
        <v>5.7694156864002049E-3</v>
      </c>
      <c r="W47" s="1"/>
      <c r="X47" s="1">
        <f t="shared" ref="X47:X57" si="36">+P47-T47</f>
        <v>-900</v>
      </c>
      <c r="Y47" s="1"/>
      <c r="Z47" s="5">
        <f t="shared" ref="Z47:Z57" si="37">IF(T47=0,0,X47/T47)</f>
        <v>-1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30"/>
        <v>0</v>
      </c>
      <c r="G48" s="2"/>
      <c r="H48" s="7">
        <v>100</v>
      </c>
      <c r="I48" s="2"/>
      <c r="J48" s="6">
        <f t="shared" si="31"/>
        <v>2.8803502505904718E-3</v>
      </c>
      <c r="K48" s="2"/>
      <c r="L48" s="7">
        <f t="shared" si="32"/>
        <v>-100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900</v>
      </c>
      <c r="U48" s="2"/>
      <c r="V48" s="6">
        <f t="shared" si="35"/>
        <v>5.7694156864002049E-3</v>
      </c>
      <c r="W48" s="2"/>
      <c r="X48" s="7">
        <f t="shared" si="36"/>
        <v>-900</v>
      </c>
      <c r="Y48" s="2"/>
      <c r="Z48" s="6">
        <f t="shared" si="37"/>
        <v>-1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SUM(OSRRefD22_3x_0)</f>
        <v>0</v>
      </c>
      <c r="E49" s="1"/>
      <c r="F49" s="5">
        <f t="shared" si="30"/>
        <v>0</v>
      </c>
      <c r="G49" s="1"/>
      <c r="H49" s="1">
        <f>SUM(OSRRefH22_3x_0)</f>
        <v>2194</v>
      </c>
      <c r="I49" s="1"/>
      <c r="J49" s="5">
        <f t="shared" si="31"/>
        <v>6.3194884497954948E-2</v>
      </c>
      <c r="K49" s="1"/>
      <c r="L49" s="1">
        <f t="shared" si="32"/>
        <v>-2194</v>
      </c>
      <c r="M49" s="1"/>
      <c r="N49" s="5">
        <f t="shared" si="33"/>
        <v>-1</v>
      </c>
      <c r="O49" s="13"/>
      <c r="P49" s="1">
        <f>SUM(OSRRefP22_3x_0)</f>
        <v>240</v>
      </c>
      <c r="Q49" s="1"/>
      <c r="R49" s="5">
        <f t="shared" si="34"/>
        <v>0</v>
      </c>
      <c r="S49" s="1"/>
      <c r="T49" s="1">
        <f>SUM(OSRRefT22_3x_0)</f>
        <v>9758</v>
      </c>
      <c r="U49" s="1"/>
      <c r="V49" s="5">
        <f t="shared" si="35"/>
        <v>6.2553286964325786E-2</v>
      </c>
      <c r="W49" s="1"/>
      <c r="X49" s="1">
        <f t="shared" si="36"/>
        <v>-9518</v>
      </c>
      <c r="Y49" s="1"/>
      <c r="Z49" s="5">
        <f t="shared" si="37"/>
        <v>-0.97540479606476738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30"/>
        <v>0</v>
      </c>
      <c r="G50" s="2"/>
      <c r="H50" s="7">
        <v>2194</v>
      </c>
      <c r="I50" s="2"/>
      <c r="J50" s="6">
        <f t="shared" si="31"/>
        <v>6.3194884497954948E-2</v>
      </c>
      <c r="K50" s="2"/>
      <c r="L50" s="7">
        <f t="shared" si="32"/>
        <v>-2194</v>
      </c>
      <c r="M50" s="2"/>
      <c r="N50" s="6">
        <f t="shared" si="33"/>
        <v>-1</v>
      </c>
      <c r="O50" s="11"/>
      <c r="P50" s="7">
        <v>240</v>
      </c>
      <c r="Q50" s="2"/>
      <c r="R50" s="6">
        <f t="shared" si="34"/>
        <v>0</v>
      </c>
      <c r="S50" s="2"/>
      <c r="T50" s="7">
        <v>9758</v>
      </c>
      <c r="U50" s="2"/>
      <c r="V50" s="6">
        <f t="shared" si="35"/>
        <v>6.2553286964325786E-2</v>
      </c>
      <c r="W50" s="2"/>
      <c r="X50" s="7">
        <f t="shared" si="36"/>
        <v>-9518</v>
      </c>
      <c r="Y50" s="2"/>
      <c r="Z50" s="6">
        <f t="shared" si="37"/>
        <v>-0.97540479606476738</v>
      </c>
    </row>
    <row r="51" spans="1:26" s="25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41.93</v>
      </c>
      <c r="E51" s="1"/>
      <c r="F51" s="5">
        <f t="shared" si="30"/>
        <v>0</v>
      </c>
      <c r="G51" s="1"/>
      <c r="H51" s="1">
        <f>SUM(OSRRefH22_4x_0)</f>
        <v>0</v>
      </c>
      <c r="I51" s="1"/>
      <c r="J51" s="5">
        <f t="shared" si="31"/>
        <v>0</v>
      </c>
      <c r="K51" s="1"/>
      <c r="L51" s="1">
        <f t="shared" si="32"/>
        <v>41.93</v>
      </c>
      <c r="M51" s="1"/>
      <c r="N51" s="5">
        <f t="shared" si="33"/>
        <v>0</v>
      </c>
      <c r="O51" s="13"/>
      <c r="P51" s="1">
        <f>SUM(OSRRefP22_4x_0)</f>
        <v>249.82</v>
      </c>
      <c r="Q51" s="1"/>
      <c r="R51" s="5">
        <f t="shared" si="34"/>
        <v>0</v>
      </c>
      <c r="S51" s="1"/>
      <c r="T51" s="1">
        <f>SUM(OSRRefT22_4x_0)</f>
        <v>0</v>
      </c>
      <c r="U51" s="1"/>
      <c r="V51" s="5">
        <f t="shared" si="35"/>
        <v>0</v>
      </c>
      <c r="W51" s="1"/>
      <c r="X51" s="1">
        <f t="shared" si="36"/>
        <v>249.82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"6305", " - ", "FREIGHT OUT")</f>
        <v xml:space="preserve">          6305 - FREIGHT OUT</v>
      </c>
      <c r="C52" s="11"/>
      <c r="D52" s="7">
        <v>41.93</v>
      </c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41.93</v>
      </c>
      <c r="M52" s="2"/>
      <c r="N52" s="6">
        <f t="shared" si="33"/>
        <v>0</v>
      </c>
      <c r="O52" s="11"/>
      <c r="P52" s="7">
        <v>249.82</v>
      </c>
      <c r="Q52" s="2"/>
      <c r="R52" s="6">
        <f t="shared" si="34"/>
        <v>0</v>
      </c>
      <c r="S52" s="2"/>
      <c r="T52" s="7"/>
      <c r="U52" s="2"/>
      <c r="V52" s="6">
        <f t="shared" si="35"/>
        <v>0</v>
      </c>
      <c r="W52" s="2"/>
      <c r="X52" s="7">
        <f t="shared" si="36"/>
        <v>249.82</v>
      </c>
      <c r="Y52" s="2"/>
      <c r="Z52" s="6">
        <f t="shared" si="37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si="30"/>
        <v>0</v>
      </c>
      <c r="G53" s="1"/>
      <c r="H53" s="1">
        <f>SUM(OSRRefH22_5x_0)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SUM(OSRRefP22_5x_0)</f>
        <v>160</v>
      </c>
      <c r="Q53" s="1"/>
      <c r="R53" s="5">
        <f t="shared" si="34"/>
        <v>0</v>
      </c>
      <c r="S53" s="1"/>
      <c r="T53" s="1">
        <f>SUM(OSRRefT22_5x_0)</f>
        <v>1350</v>
      </c>
      <c r="U53" s="1"/>
      <c r="V53" s="5">
        <f t="shared" si="35"/>
        <v>8.6541235296003077E-3</v>
      </c>
      <c r="W53" s="1"/>
      <c r="X53" s="1">
        <f t="shared" si="36"/>
        <v>-1190</v>
      </c>
      <c r="Y53" s="1"/>
      <c r="Z53" s="5">
        <f t="shared" si="37"/>
        <v>-0.88148148148148153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160</v>
      </c>
      <c r="Q54" s="2"/>
      <c r="R54" s="6">
        <f t="shared" si="34"/>
        <v>0</v>
      </c>
      <c r="S54" s="2"/>
      <c r="T54" s="7">
        <v>1350</v>
      </c>
      <c r="U54" s="2"/>
      <c r="V54" s="6">
        <f t="shared" si="35"/>
        <v>8.6541235296003077E-3</v>
      </c>
      <c r="W54" s="2"/>
      <c r="X54" s="7">
        <f t="shared" si="36"/>
        <v>-1190</v>
      </c>
      <c r="Y54" s="2"/>
      <c r="Z54" s="6">
        <f t="shared" si="37"/>
        <v>-0.88148148148148153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SUM(OSRRefD22_6x_0)</f>
        <v>24.12</v>
      </c>
      <c r="E55" s="1"/>
      <c r="F55" s="5">
        <f t="shared" si="30"/>
        <v>0</v>
      </c>
      <c r="G55" s="1"/>
      <c r="H55" s="1">
        <f>SUM(OSRRefH22_6x_0)</f>
        <v>35</v>
      </c>
      <c r="I55" s="1"/>
      <c r="J55" s="5">
        <f t="shared" si="31"/>
        <v>1.0081225877066652E-3</v>
      </c>
      <c r="K55" s="1"/>
      <c r="L55" s="1">
        <f t="shared" si="32"/>
        <v>-10.879999999999999</v>
      </c>
      <c r="M55" s="1"/>
      <c r="N55" s="5">
        <f t="shared" si="33"/>
        <v>-0.31085714285714283</v>
      </c>
      <c r="O55" s="13"/>
      <c r="P55" s="1">
        <f>SUM(OSRRefP22_6x_0)</f>
        <v>72.36</v>
      </c>
      <c r="Q55" s="1"/>
      <c r="R55" s="5">
        <f t="shared" si="34"/>
        <v>0</v>
      </c>
      <c r="S55" s="1"/>
      <c r="T55" s="1">
        <f>SUM(OSRRefT22_6x_0)</f>
        <v>280</v>
      </c>
      <c r="U55" s="1"/>
      <c r="V55" s="5">
        <f t="shared" si="35"/>
        <v>1.7949293246578416E-3</v>
      </c>
      <c r="W55" s="1"/>
      <c r="X55" s="1">
        <f t="shared" si="36"/>
        <v>-207.64</v>
      </c>
      <c r="Y55" s="1"/>
      <c r="Z55" s="5">
        <f t="shared" si="37"/>
        <v>-0.74157142857142855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24.12</v>
      </c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24.12</v>
      </c>
      <c r="M56" s="2"/>
      <c r="N56" s="6">
        <f t="shared" si="33"/>
        <v>0</v>
      </c>
      <c r="O56" s="11"/>
      <c r="P56" s="7">
        <v>72.36</v>
      </c>
      <c r="Q56" s="2"/>
      <c r="R56" s="6">
        <f t="shared" si="34"/>
        <v>0</v>
      </c>
      <c r="S56" s="2"/>
      <c r="T56" s="7"/>
      <c r="U56" s="2"/>
      <c r="V56" s="6">
        <f t="shared" si="35"/>
        <v>0</v>
      </c>
      <c r="W56" s="2"/>
      <c r="X56" s="7">
        <f t="shared" si="36"/>
        <v>72.36</v>
      </c>
      <c r="Y56" s="2"/>
      <c r="Z56" s="6">
        <f t="shared" si="37"/>
        <v>0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0"/>
        <v>0</v>
      </c>
      <c r="G57" s="2"/>
      <c r="H57" s="7">
        <v>35</v>
      </c>
      <c r="I57" s="2"/>
      <c r="J57" s="6">
        <f t="shared" si="31"/>
        <v>1.0081225877066652E-3</v>
      </c>
      <c r="K57" s="2"/>
      <c r="L57" s="7">
        <f t="shared" si="32"/>
        <v>-35</v>
      </c>
      <c r="M57" s="2"/>
      <c r="N57" s="6">
        <f t="shared" si="33"/>
        <v>-1</v>
      </c>
      <c r="O57" s="11"/>
      <c r="P57" s="7"/>
      <c r="Q57" s="2"/>
      <c r="R57" s="6">
        <f t="shared" si="34"/>
        <v>0</v>
      </c>
      <c r="S57" s="2"/>
      <c r="T57" s="7">
        <v>280</v>
      </c>
      <c r="U57" s="2"/>
      <c r="V57" s="6">
        <f t="shared" si="35"/>
        <v>1.7949293246578416E-3</v>
      </c>
      <c r="W57" s="2"/>
      <c r="X57" s="7">
        <f t="shared" si="36"/>
        <v>-280</v>
      </c>
      <c r="Y57" s="2"/>
      <c r="Z57" s="6">
        <f t="shared" si="37"/>
        <v>-1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SUM(OSRRefD22_7x_0)</f>
        <v>0</v>
      </c>
      <c r="E58" s="1"/>
      <c r="F58" s="5">
        <f t="shared" ref="F58:F63" si="38">IF(D$12=0,0,D58/D$12)</f>
        <v>0</v>
      </c>
      <c r="G58" s="1"/>
      <c r="H58" s="1">
        <f>SUM(OSRRefH22_7x_0)</f>
        <v>163</v>
      </c>
      <c r="I58" s="1"/>
      <c r="J58" s="5">
        <f t="shared" ref="J58:J63" si="39">IF(H$12=0,0,H58/H$12)</f>
        <v>4.694970908462469E-3</v>
      </c>
      <c r="K58" s="1"/>
      <c r="L58" s="1">
        <f t="shared" ref="L58:L63" si="40">+D58-H58</f>
        <v>-163</v>
      </c>
      <c r="M58" s="1"/>
      <c r="N58" s="5">
        <f t="shared" ref="N58:N63" si="41">IF(H58=0,0,L58/H58)</f>
        <v>-1</v>
      </c>
      <c r="O58" s="13"/>
      <c r="P58" s="1">
        <f>SUM(OSRRefP22_7x_0)</f>
        <v>0</v>
      </c>
      <c r="Q58" s="1"/>
      <c r="R58" s="5">
        <f t="shared" ref="R58:R63" si="42">IF(P$12=0,0,P58/P$12)</f>
        <v>0</v>
      </c>
      <c r="S58" s="1"/>
      <c r="T58" s="1">
        <f>SUM(OSRRefT22_7x_0)</f>
        <v>1467</v>
      </c>
      <c r="U58" s="1"/>
      <c r="V58" s="5">
        <f t="shared" ref="V58:V63" si="43">IF(T$12=0,0,T58/T$12)</f>
        <v>9.4041475688323335E-3</v>
      </c>
      <c r="W58" s="1"/>
      <c r="X58" s="1">
        <f t="shared" ref="X58:X63" si="44">+P58-T58</f>
        <v>-1467</v>
      </c>
      <c r="Y58" s="1"/>
      <c r="Z58" s="5">
        <f t="shared" ref="Z58:Z63" si="45">IF(T58=0,0,X58/T58)</f>
        <v>-1</v>
      </c>
    </row>
    <row r="59" spans="1:26" s="24" customFormat="1" hidden="1" outlineLevel="2" x14ac:dyDescent="0.25">
      <c r="A59" s="26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38"/>
        <v>0</v>
      </c>
      <c r="G59" s="2"/>
      <c r="H59" s="7">
        <v>163</v>
      </c>
      <c r="I59" s="2"/>
      <c r="J59" s="6">
        <f t="shared" si="39"/>
        <v>4.694970908462469E-3</v>
      </c>
      <c r="K59" s="2"/>
      <c r="L59" s="7">
        <f t="shared" si="40"/>
        <v>-163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1467</v>
      </c>
      <c r="U59" s="2"/>
      <c r="V59" s="6">
        <f t="shared" si="43"/>
        <v>9.4041475688323335E-3</v>
      </c>
      <c r="W59" s="2"/>
      <c r="X59" s="7">
        <f t="shared" si="44"/>
        <v>-1467</v>
      </c>
      <c r="Y59" s="2"/>
      <c r="Z59" s="6">
        <f t="shared" si="45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SUM(OSRRefD22_8x_0)</f>
        <v>0</v>
      </c>
      <c r="E60" s="1"/>
      <c r="F60" s="5">
        <f t="shared" si="38"/>
        <v>0</v>
      </c>
      <c r="G60" s="1"/>
      <c r="H60" s="1">
        <f>SUM(OSRRefH22_8x_0)</f>
        <v>410</v>
      </c>
      <c r="I60" s="1"/>
      <c r="J60" s="5">
        <f t="shared" si="39"/>
        <v>1.1809436027420935E-2</v>
      </c>
      <c r="K60" s="1"/>
      <c r="L60" s="1">
        <f t="shared" si="40"/>
        <v>-410</v>
      </c>
      <c r="M60" s="1"/>
      <c r="N60" s="5">
        <f t="shared" si="41"/>
        <v>-1</v>
      </c>
      <c r="O60" s="13"/>
      <c r="P60" s="1">
        <f>SUM(OSRRefP22_8x_0)</f>
        <v>0</v>
      </c>
      <c r="Q60" s="1"/>
      <c r="R60" s="5">
        <f t="shared" si="42"/>
        <v>0</v>
      </c>
      <c r="S60" s="1"/>
      <c r="T60" s="1">
        <f>SUM(OSRRefT22_8x_0)</f>
        <v>3890</v>
      </c>
      <c r="U60" s="1"/>
      <c r="V60" s="5">
        <f t="shared" si="43"/>
        <v>2.4936696688996441E-2</v>
      </c>
      <c r="W60" s="1"/>
      <c r="X60" s="1">
        <f t="shared" si="44"/>
        <v>-3890</v>
      </c>
      <c r="Y60" s="1"/>
      <c r="Z60" s="5">
        <f t="shared" si="45"/>
        <v>-1</v>
      </c>
    </row>
    <row r="61" spans="1:26" s="24" customFormat="1" hidden="1" outlineLevel="2" x14ac:dyDescent="0.25">
      <c r="A61" s="26"/>
      <c r="B61" s="11" t="str">
        <f>CONCATENATE("          ", "6235", " - ", "COVID-19 EXPENSES")</f>
        <v xml:space="preserve">          6235 - COVID-19 EXPENSES</v>
      </c>
      <c r="C61" s="11"/>
      <c r="D61" s="7"/>
      <c r="E61" s="2"/>
      <c r="F61" s="6">
        <f t="shared" si="38"/>
        <v>0</v>
      </c>
      <c r="G61" s="2"/>
      <c r="H61" s="7">
        <v>0</v>
      </c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0</v>
      </c>
      <c r="U61" s="2"/>
      <c r="V61" s="6">
        <f t="shared" si="43"/>
        <v>0</v>
      </c>
      <c r="W61" s="2"/>
      <c r="X61" s="7">
        <f t="shared" si="44"/>
        <v>0</v>
      </c>
      <c r="Y61" s="2"/>
      <c r="Z61" s="6">
        <f t="shared" si="45"/>
        <v>0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38"/>
        <v>0</v>
      </c>
      <c r="G62" s="2"/>
      <c r="H62" s="7">
        <v>410</v>
      </c>
      <c r="I62" s="2"/>
      <c r="J62" s="6">
        <f t="shared" si="39"/>
        <v>1.1809436027420935E-2</v>
      </c>
      <c r="K62" s="2"/>
      <c r="L62" s="7">
        <f t="shared" si="40"/>
        <v>-410</v>
      </c>
      <c r="M62" s="2"/>
      <c r="N62" s="6">
        <f t="shared" si="41"/>
        <v>-1</v>
      </c>
      <c r="O62" s="11"/>
      <c r="P62" s="7"/>
      <c r="Q62" s="2"/>
      <c r="R62" s="6">
        <f t="shared" si="42"/>
        <v>0</v>
      </c>
      <c r="S62" s="2"/>
      <c r="T62" s="7">
        <v>3890</v>
      </c>
      <c r="U62" s="2"/>
      <c r="V62" s="6">
        <f t="shared" si="43"/>
        <v>2.4936696688996441E-2</v>
      </c>
      <c r="W62" s="2"/>
      <c r="X62" s="7">
        <f t="shared" si="44"/>
        <v>-3890</v>
      </c>
      <c r="Y62" s="2"/>
      <c r="Z62" s="6">
        <f t="shared" si="45"/>
        <v>-1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0</v>
      </c>
      <c r="U63" s="2"/>
      <c r="V63" s="6">
        <f t="shared" si="43"/>
        <v>0</v>
      </c>
      <c r="W63" s="2"/>
      <c r="X63" s="7">
        <f t="shared" si="44"/>
        <v>0</v>
      </c>
      <c r="Y63" s="2"/>
      <c r="Z63" s="6">
        <f t="shared" si="45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SUM(OSRRefD22_9x_0)</f>
        <v>77.95</v>
      </c>
      <c r="E64" s="1"/>
      <c r="F64" s="5">
        <f t="shared" ref="F64:F66" si="46">IF(D$12=0,0,D64/D$12)</f>
        <v>0</v>
      </c>
      <c r="G64" s="1"/>
      <c r="H64" s="1">
        <f>SUM(OSRRefH22_9x_0)</f>
        <v>120</v>
      </c>
      <c r="I64" s="1"/>
      <c r="J64" s="5">
        <f t="shared" ref="J64:J66" si="47">IF(H$12=0,0,H64/H$12)</f>
        <v>3.4564203007085661E-3</v>
      </c>
      <c r="K64" s="1"/>
      <c r="L64" s="1">
        <f t="shared" ref="L64:L66" si="48">+D64-H64</f>
        <v>-42.05</v>
      </c>
      <c r="M64" s="1"/>
      <c r="N64" s="5">
        <f t="shared" ref="N64:N66" si="49">IF(H64=0,0,L64/H64)</f>
        <v>-0.35041666666666665</v>
      </c>
      <c r="O64" s="13"/>
      <c r="P64" s="1">
        <f>SUM(OSRRefP22_9x_0)</f>
        <v>1002.5</v>
      </c>
      <c r="Q64" s="1"/>
      <c r="R64" s="5">
        <f t="shared" ref="R64:R66" si="50">IF(P$12=0,0,P64/P$12)</f>
        <v>0</v>
      </c>
      <c r="S64" s="1"/>
      <c r="T64" s="1">
        <f>SUM(OSRRefT22_9x_0)</f>
        <v>1080</v>
      </c>
      <c r="U64" s="1"/>
      <c r="V64" s="5">
        <f t="shared" ref="V64:V66" si="51">IF(T$12=0,0,T64/T$12)</f>
        <v>6.923298823680246E-3</v>
      </c>
      <c r="W64" s="1"/>
      <c r="X64" s="1">
        <f t="shared" ref="X64:X66" si="52">+P64-T64</f>
        <v>-77.5</v>
      </c>
      <c r="Y64" s="1"/>
      <c r="Z64" s="5">
        <f t="shared" ref="Z64:Z66" si="53">IF(T64=0,0,X64/T64)</f>
        <v>-7.1759259259259259E-2</v>
      </c>
    </row>
    <row r="65" spans="1:26" s="24" customFormat="1" hidden="1" outlineLevel="2" x14ac:dyDescent="0.25">
      <c r="A65" s="26"/>
      <c r="B65" s="11" t="str">
        <f>CONCATENATE("          ", "6303", " - ", "DATA PHONE LINES")</f>
        <v xml:space="preserve">          6303 - DATA PHONE LINES</v>
      </c>
      <c r="C65" s="11"/>
      <c r="D65" s="7"/>
      <c r="E65" s="2"/>
      <c r="F65" s="6">
        <f t="shared" si="46"/>
        <v>0</v>
      </c>
      <c r="G65" s="2"/>
      <c r="H65" s="7">
        <v>120</v>
      </c>
      <c r="I65" s="2"/>
      <c r="J65" s="6">
        <f t="shared" si="47"/>
        <v>3.4564203007085661E-3</v>
      </c>
      <c r="K65" s="2"/>
      <c r="L65" s="7">
        <f t="shared" si="48"/>
        <v>-120</v>
      </c>
      <c r="M65" s="2"/>
      <c r="N65" s="6">
        <f t="shared" si="49"/>
        <v>-1</v>
      </c>
      <c r="O65" s="11"/>
      <c r="P65" s="7"/>
      <c r="Q65" s="2"/>
      <c r="R65" s="6">
        <f t="shared" si="50"/>
        <v>0</v>
      </c>
      <c r="S65" s="2"/>
      <c r="T65" s="7">
        <v>1080</v>
      </c>
      <c r="U65" s="2"/>
      <c r="V65" s="6">
        <f t="shared" si="51"/>
        <v>6.923298823680246E-3</v>
      </c>
      <c r="W65" s="2"/>
      <c r="X65" s="7">
        <f t="shared" si="52"/>
        <v>-1080</v>
      </c>
      <c r="Y65" s="2"/>
      <c r="Z65" s="6">
        <f t="shared" si="53"/>
        <v>-1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7">
        <v>77.95</v>
      </c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77.95</v>
      </c>
      <c r="M66" s="2"/>
      <c r="N66" s="6">
        <f t="shared" si="49"/>
        <v>0</v>
      </c>
      <c r="O66" s="11"/>
      <c r="P66" s="7">
        <v>1002.5</v>
      </c>
      <c r="Q66" s="2"/>
      <c r="R66" s="6">
        <f t="shared" si="50"/>
        <v>0</v>
      </c>
      <c r="S66" s="2"/>
      <c r="T66" s="7"/>
      <c r="U66" s="2"/>
      <c r="V66" s="6">
        <f t="shared" si="51"/>
        <v>0</v>
      </c>
      <c r="W66" s="2"/>
      <c r="X66" s="7">
        <f t="shared" si="52"/>
        <v>1002.5</v>
      </c>
      <c r="Y66" s="2"/>
      <c r="Z66" s="6">
        <f t="shared" si="53"/>
        <v>0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SUM(OSRRefD22_10x_0)</f>
        <v>0</v>
      </c>
      <c r="E67" s="1"/>
      <c r="F67" s="5">
        <f t="shared" ref="F67:F70" si="54">IF(D$12=0,0,D67/D$12)</f>
        <v>0</v>
      </c>
      <c r="G67" s="1"/>
      <c r="H67" s="1">
        <f>SUM(OSRRefH22_10x_0)</f>
        <v>0</v>
      </c>
      <c r="I67" s="1"/>
      <c r="J67" s="5">
        <f t="shared" ref="J67:J70" si="55">IF(H$12=0,0,H67/H$12)</f>
        <v>0</v>
      </c>
      <c r="K67" s="1"/>
      <c r="L67" s="1">
        <f t="shared" ref="L67:L70" si="56">+D67-H67</f>
        <v>0</v>
      </c>
      <c r="M67" s="1"/>
      <c r="N67" s="5">
        <f t="shared" ref="N67:N70" si="57">IF(H67=0,0,L67/H67)</f>
        <v>0</v>
      </c>
      <c r="O67" s="13"/>
      <c r="P67" s="1">
        <f>SUM(OSRRefP22_10x_0)</f>
        <v>0</v>
      </c>
      <c r="Q67" s="1"/>
      <c r="R67" s="5">
        <f t="shared" ref="R67:R70" si="58">IF(P$12=0,0,P67/P$12)</f>
        <v>0</v>
      </c>
      <c r="S67" s="1"/>
      <c r="T67" s="1">
        <f>SUM(OSRRefT22_10x_0)</f>
        <v>120</v>
      </c>
      <c r="U67" s="1"/>
      <c r="V67" s="5">
        <f t="shared" ref="V67:V70" si="59">IF(T$12=0,0,T67/T$12)</f>
        <v>7.6925542485336066E-4</v>
      </c>
      <c r="W67" s="1"/>
      <c r="X67" s="1">
        <f t="shared" ref="X67:X70" si="60">+P67-T67</f>
        <v>-120</v>
      </c>
      <c r="Y67" s="1"/>
      <c r="Z67" s="5">
        <f t="shared" ref="Z67:Z70" si="61">IF(T67=0,0,X67/T67)</f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120</v>
      </c>
      <c r="U68" s="2"/>
      <c r="V68" s="6">
        <f t="shared" si="59"/>
        <v>7.6925542485336066E-4</v>
      </c>
      <c r="W68" s="2"/>
      <c r="X68" s="7">
        <f t="shared" si="60"/>
        <v>-120</v>
      </c>
      <c r="Y68" s="2"/>
      <c r="Z68" s="6">
        <f t="shared" si="61"/>
        <v>-1</v>
      </c>
    </row>
    <row r="69" spans="1:26" s="25" customFormat="1" outlineLevel="1" collapsed="1" x14ac:dyDescent="0.25">
      <c r="A69" s="27"/>
      <c r="B69" s="13" t="str">
        <f>CONCATENATE("     ","Travel                                            ")</f>
        <v xml:space="preserve">     Travel                                            </v>
      </c>
      <c r="C69" s="13"/>
      <c r="D69" s="1">
        <f>SUM(OSRRefD22_11x_0)</f>
        <v>0</v>
      </c>
      <c r="E69" s="1"/>
      <c r="F69" s="5">
        <f t="shared" si="54"/>
        <v>0</v>
      </c>
      <c r="G69" s="1"/>
      <c r="H69" s="1">
        <f>SUM(OSRRefH22_11x_0)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3"/>
      <c r="P69" s="1">
        <f>SUM(OSRRefP22_11x_0)</f>
        <v>0</v>
      </c>
      <c r="Q69" s="1"/>
      <c r="R69" s="5">
        <f t="shared" si="58"/>
        <v>0</v>
      </c>
      <c r="S69" s="1"/>
      <c r="T69" s="1">
        <f>SUM(OSRRefT22_11x_0)</f>
        <v>0</v>
      </c>
      <c r="U69" s="1"/>
      <c r="V69" s="5">
        <f t="shared" si="59"/>
        <v>0</v>
      </c>
      <c r="W69" s="1"/>
      <c r="X69" s="1">
        <f t="shared" si="60"/>
        <v>0</v>
      </c>
      <c r="Y69" s="1"/>
      <c r="Z69" s="5">
        <f t="shared" si="61"/>
        <v>0</v>
      </c>
    </row>
    <row r="70" spans="1:26" s="24" customFormat="1" hidden="1" outlineLevel="2" x14ac:dyDescent="0.25">
      <c r="A70" s="26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59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277</v>
      </c>
      <c r="C74" s="29"/>
      <c r="D74" s="20">
        <f>+D23-D25+D72</f>
        <v>-144</v>
      </c>
      <c r="E74" s="14"/>
      <c r="F74" s="21">
        <f>IF(D$12=0,0,D74/D$12)</f>
        <v>0</v>
      </c>
      <c r="G74" s="14"/>
      <c r="H74" s="20">
        <f>+H23-H25+H72</f>
        <v>-2241.9661314000004</v>
      </c>
      <c r="I74" s="14"/>
      <c r="J74" s="21">
        <f>IF(H$12=0,0,H74/H$12)</f>
        <v>-6.4576477083933423E-2</v>
      </c>
      <c r="K74" s="16"/>
      <c r="L74" s="20">
        <f>+D74-H74</f>
        <v>2097.9661314000004</v>
      </c>
      <c r="M74" s="16"/>
      <c r="N74" s="21">
        <f>IF(H74=0,0,L74/H74)</f>
        <v>-0.93577066219547267</v>
      </c>
      <c r="O74" s="28"/>
      <c r="P74" s="20">
        <f>+P23-P25+P72</f>
        <v>-46035.090000000004</v>
      </c>
      <c r="Q74" s="14"/>
      <c r="R74" s="21">
        <f>IF(P$12=0,0,P74/P$12)</f>
        <v>0</v>
      </c>
      <c r="S74" s="14"/>
      <c r="T74" s="20">
        <f>+T23-T25+T72</f>
        <v>-64889.358440199983</v>
      </c>
      <c r="U74" s="14"/>
      <c r="V74" s="21">
        <f>IF(T$12=0,0,T74/T$12)</f>
        <v>-0.41597075829481706</v>
      </c>
      <c r="W74" s="16"/>
      <c r="X74" s="20">
        <f>+P74-T74</f>
        <v>18854.26844019998</v>
      </c>
      <c r="Y74" s="16"/>
      <c r="Z74" s="21">
        <f>IF(T74=0,0,X74/T74)</f>
        <v>-0.29056025353641751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>
        <v>6729</v>
      </c>
      <c r="I76" s="4"/>
      <c r="J76" s="12">
        <f>IF(H$12=0,0,H76/H$12)</f>
        <v>0.19381876836223286</v>
      </c>
      <c r="K76" s="4"/>
      <c r="L76" s="4">
        <f>+D76-H76</f>
        <v>-6729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27587</v>
      </c>
      <c r="U76" s="4"/>
      <c r="V76" s="12">
        <f>IF(T$12=0,0,T76/T$12)</f>
        <v>0.17684541171191384</v>
      </c>
      <c r="W76" s="4"/>
      <c r="X76" s="4">
        <f>+P76-T76</f>
        <v>-27587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126</v>
      </c>
      <c r="C78" s="29"/>
      <c r="D78" s="34">
        <f>+D74-D76</f>
        <v>-144</v>
      </c>
      <c r="E78" s="14"/>
      <c r="F78" s="30">
        <f>IF(D$12=0,0,D78/D$12)</f>
        <v>0</v>
      </c>
      <c r="G78" s="14"/>
      <c r="H78" s="34">
        <f>+H74-H76</f>
        <v>-8970.9661314000004</v>
      </c>
      <c r="I78" s="14"/>
      <c r="J78" s="30">
        <f>IF(H$12=0,0,H78/H$12)</f>
        <v>-0.25839524544616627</v>
      </c>
      <c r="K78" s="16"/>
      <c r="L78" s="34">
        <f>D78-H78</f>
        <v>8826.9661314000004</v>
      </c>
      <c r="M78" s="16"/>
      <c r="N78" s="30">
        <f>IF(H78=0,0,L78/H78)</f>
        <v>-0.98394821718298831</v>
      </c>
      <c r="O78" s="28"/>
      <c r="P78" s="34">
        <f>+P74-P76</f>
        <v>-46035.090000000004</v>
      </c>
      <c r="Q78" s="14"/>
      <c r="R78" s="30">
        <f>IF(P$12=0,0,P78/P$12)</f>
        <v>0</v>
      </c>
      <c r="S78" s="14"/>
      <c r="T78" s="34">
        <f>+T74-T76</f>
        <v>-92476.358440199983</v>
      </c>
      <c r="U78" s="14"/>
      <c r="V78" s="30">
        <f>IF(T$12=0,0,T78/T$12)</f>
        <v>-0.59281617000673092</v>
      </c>
      <c r="W78" s="16"/>
      <c r="X78" s="34">
        <f>P78-T78</f>
        <v>46441.26844019998</v>
      </c>
      <c r="Y78" s="16"/>
      <c r="Z78" s="30">
        <f>IF(T78=0,0,X78/T78)</f>
        <v>-0.50219612043040507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294</v>
      </c>
      <c r="C81" s="29"/>
      <c r="D81" s="31">
        <f>SUM(D78:D80)</f>
        <v>-144</v>
      </c>
      <c r="E81" s="14"/>
      <c r="F81" s="35">
        <f>IF(D$12=0,0,D81/D$12)</f>
        <v>0</v>
      </c>
      <c r="G81" s="14"/>
      <c r="H81" s="31">
        <f>SUM(H78:H80)</f>
        <v>-8970.9661314000004</v>
      </c>
      <c r="I81" s="14"/>
      <c r="J81" s="35">
        <f>IF(H$12=0,0,H81/H$12)</f>
        <v>-0.25839524544616627</v>
      </c>
      <c r="K81" s="16"/>
      <c r="L81" s="31">
        <f>+D81-H81</f>
        <v>8826.9661314000004</v>
      </c>
      <c r="M81" s="16"/>
      <c r="N81" s="35">
        <f>IF(H81=0,0,L81/H81)</f>
        <v>-0.98394821718298831</v>
      </c>
      <c r="O81" s="28"/>
      <c r="P81" s="31">
        <f>SUM(P78:P80)</f>
        <v>-46035.090000000004</v>
      </c>
      <c r="Q81" s="14"/>
      <c r="R81" s="35">
        <f>IF(P$12=0,0,P81/P$12)</f>
        <v>0</v>
      </c>
      <c r="S81" s="14"/>
      <c r="T81" s="31">
        <f>SUM(T78:T80)</f>
        <v>-92476.358440199983</v>
      </c>
      <c r="U81" s="14"/>
      <c r="V81" s="35">
        <f>IF(T$12=0,0,T81/T$12)</f>
        <v>-0.59281617000673092</v>
      </c>
      <c r="W81" s="16"/>
      <c r="X81" s="31">
        <f>+P81-T81</f>
        <v>46441.26844019998</v>
      </c>
      <c r="Y81" s="16"/>
      <c r="Z81" s="35">
        <f>IF(T81=0,0,X81/T81)</f>
        <v>-0.50219612043040507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6">
        <v>44295.961797766206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3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4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","321", " - ", "Student Union C-Store")</f>
        <v>Department 321 - Student Union C-Store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19988</v>
      </c>
      <c r="I12" s="4"/>
      <c r="J12" s="12"/>
      <c r="K12" s="4"/>
      <c r="L12" s="4">
        <f t="shared" ref="L12:L15" si="0">+D12-H12</f>
        <v>-19988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89108</v>
      </c>
      <c r="U12" s="4"/>
      <c r="V12" s="12"/>
      <c r="W12" s="4"/>
      <c r="X12" s="4">
        <f t="shared" ref="X12:X15" si="2">+P12-T12</f>
        <v>-86631.53</v>
      </c>
      <c r="Y12" s="4"/>
      <c r="Z12" s="12">
        <f t="shared" ref="Z12:Z15" si="3">IF(T12=0,0,X12/T12)</f>
        <v>-0.97220821923957446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--444.59</f>
        <v>444.59</v>
      </c>
      <c r="Q13" s="2"/>
      <c r="R13" s="19"/>
      <c r="S13" s="2"/>
      <c r="T13" s="2"/>
      <c r="U13" s="2"/>
      <c r="V13" s="19"/>
      <c r="W13" s="2"/>
      <c r="X13" s="2">
        <f t="shared" si="2"/>
        <v>444.59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19988</v>
      </c>
      <c r="I14" s="2"/>
      <c r="J14" s="19"/>
      <c r="K14" s="2"/>
      <c r="L14" s="2">
        <f t="shared" si="0"/>
        <v>-19988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89108</v>
      </c>
      <c r="U14" s="2"/>
      <c r="V14" s="19"/>
      <c r="W14" s="2"/>
      <c r="X14" s="2">
        <f t="shared" si="2"/>
        <v>-89108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--2031.88</f>
        <v>2031.88</v>
      </c>
      <c r="Q15" s="2"/>
      <c r="R15" s="19"/>
      <c r="S15" s="2"/>
      <c r="T15" s="2"/>
      <c r="U15" s="2"/>
      <c r="V15" s="19"/>
      <c r="W15" s="2"/>
      <c r="X15" s="2">
        <f t="shared" si="2"/>
        <v>2031.88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257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10394</v>
      </c>
      <c r="I17" s="4"/>
      <c r="J17" s="12">
        <f t="shared" ref="J17:J20" si="6">IF(H$12=0,0,H17/H$12)</f>
        <v>0.52001200720432261</v>
      </c>
      <c r="K17" s="4"/>
      <c r="L17" s="4">
        <f t="shared" ref="L17:L20" si="7">+D17-H17</f>
        <v>-10394</v>
      </c>
      <c r="M17" s="4"/>
      <c r="N17" s="12">
        <f t="shared" ref="N17:N20" si="8">IF(H17=0,0,L17/H17)</f>
        <v>-1</v>
      </c>
      <c r="O17" s="10"/>
      <c r="P17" s="4">
        <f>SUM(OSRRefP16x_0)</f>
        <v>19579.73</v>
      </c>
      <c r="Q17" s="4"/>
      <c r="R17" s="12">
        <f t="shared" ref="R17:R20" si="9">IF(P$12=0,0,P17/P$12)</f>
        <v>7.9063061535169004</v>
      </c>
      <c r="S17" s="4"/>
      <c r="T17" s="4">
        <f>SUM(OSRRefT16x_0)</f>
        <v>46751</v>
      </c>
      <c r="U17" s="4"/>
      <c r="V17" s="12">
        <f t="shared" ref="V17:V20" si="10">IF(T$12=0,0,T17/T$12)</f>
        <v>0.52465547425595904</v>
      </c>
      <c r="W17" s="4"/>
      <c r="X17" s="4">
        <f t="shared" ref="X17:X20" si="11">+P17-T17</f>
        <v>-27171.27</v>
      </c>
      <c r="Y17" s="4"/>
      <c r="Z17" s="12">
        <f t="shared" ref="Z17:Z20" si="12">IF(T17=0,0,X17/T17)</f>
        <v>-0.58119120446621464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10394</v>
      </c>
      <c r="I18" s="2"/>
      <c r="J18" s="19">
        <f t="shared" si="6"/>
        <v>0.52001200720432261</v>
      </c>
      <c r="K18" s="2"/>
      <c r="L18" s="2">
        <f t="shared" si="7"/>
        <v>-10394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46751</v>
      </c>
      <c r="U18" s="2"/>
      <c r="V18" s="19">
        <f t="shared" si="10"/>
        <v>0.52465547425595904</v>
      </c>
      <c r="W18" s="2"/>
      <c r="X18" s="2">
        <f t="shared" si="11"/>
        <v>-46751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0.73</v>
      </c>
      <c r="Q19" s="2"/>
      <c r="R19" s="19">
        <f t="shared" si="9"/>
        <v>2.9477441681102534E-4</v>
      </c>
      <c r="S19" s="2"/>
      <c r="T19" s="2"/>
      <c r="U19" s="2"/>
      <c r="V19" s="19">
        <f t="shared" si="10"/>
        <v>0</v>
      </c>
      <c r="W19" s="2"/>
      <c r="X19" s="2">
        <f t="shared" si="11"/>
        <v>0.73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19579</v>
      </c>
      <c r="Q20" s="2"/>
      <c r="R20" s="19">
        <f t="shared" si="9"/>
        <v>7.9060113791000894</v>
      </c>
      <c r="S20" s="2"/>
      <c r="T20" s="2"/>
      <c r="U20" s="2"/>
      <c r="V20" s="19">
        <f t="shared" si="10"/>
        <v>0</v>
      </c>
      <c r="W20" s="2"/>
      <c r="X20" s="2">
        <f t="shared" si="11"/>
        <v>19579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108</v>
      </c>
      <c r="C22" s="29"/>
      <c r="D22" s="20">
        <f>D12-D17</f>
        <v>0</v>
      </c>
      <c r="E22" s="14"/>
      <c r="F22" s="21">
        <f>IF(D$12=0,0,D22/D$12)</f>
        <v>0</v>
      </c>
      <c r="G22" s="14"/>
      <c r="H22" s="20">
        <f>H12-H17</f>
        <v>9594</v>
      </c>
      <c r="I22" s="14"/>
      <c r="J22" s="21">
        <f>IF(H$12=0,0,H22/H$12)</f>
        <v>0.47998799279567739</v>
      </c>
      <c r="K22" s="16"/>
      <c r="L22" s="20">
        <f>+D22-H22</f>
        <v>-9594</v>
      </c>
      <c r="M22" s="16"/>
      <c r="N22" s="21">
        <f>IF(H22=0,0,L22/H22)</f>
        <v>-1</v>
      </c>
      <c r="O22" s="28"/>
      <c r="P22" s="20">
        <f>P12-P17</f>
        <v>-17103.259999999998</v>
      </c>
      <c r="Q22" s="14"/>
      <c r="R22" s="21">
        <f>IF(P$12=0,0,P22/P$12)</f>
        <v>-6.9063061535168995</v>
      </c>
      <c r="S22" s="14"/>
      <c r="T22" s="20">
        <f>T12-T17</f>
        <v>42357</v>
      </c>
      <c r="U22" s="14"/>
      <c r="V22" s="21">
        <f>IF(T$12=0,0,T22/T$12)</f>
        <v>0.47534452574404096</v>
      </c>
      <c r="W22" s="16"/>
      <c r="X22" s="20">
        <f>+P22-T22</f>
        <v>-59460.259999999995</v>
      </c>
      <c r="Y22" s="16"/>
      <c r="Z22" s="21">
        <f>IF(T22=0,0,X22/T22)</f>
        <v>-1.4037882758457869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295</v>
      </c>
      <c r="C24" s="10"/>
      <c r="D24" s="22">
        <f>SUM(OSRRefD22x_0)</f>
        <v>2096.42</v>
      </c>
      <c r="E24" s="22"/>
      <c r="F24" s="32">
        <f t="shared" ref="F24:F34" si="13">IF(D$12=0,0,D24/D$12)</f>
        <v>0</v>
      </c>
      <c r="G24" s="22"/>
      <c r="H24" s="22">
        <f>SUM(OSRRefH22x_0)</f>
        <v>11524.264891499999</v>
      </c>
      <c r="I24" s="22"/>
      <c r="J24" s="32">
        <f t="shared" ref="J24:J34" si="14">IF(H$12=0,0,H24/H$12)</f>
        <v>0.57655918008304974</v>
      </c>
      <c r="K24" s="4"/>
      <c r="L24" s="22">
        <f t="shared" ref="L24:L34" si="15">+D24-H24</f>
        <v>-9427.844891499999</v>
      </c>
      <c r="M24" s="4"/>
      <c r="N24" s="32">
        <f t="shared" ref="N24:N34" si="16">IF(H24=0,0,L24/H24)</f>
        <v>-0.81808644458127078</v>
      </c>
      <c r="O24" s="10"/>
      <c r="P24" s="22">
        <f>SUM(OSRRefP22x_0)</f>
        <v>39655.859999999986</v>
      </c>
      <c r="Q24" s="22"/>
      <c r="R24" s="32">
        <f t="shared" ref="R24:R34" si="17">IF(P$12=0,0,P24/P$12)</f>
        <v>16.013058910465293</v>
      </c>
      <c r="S24" s="22"/>
      <c r="T24" s="22">
        <f>SUM(OSRRefT22x_0)</f>
        <v>78728.792004799994</v>
      </c>
      <c r="U24" s="22"/>
      <c r="V24" s="32">
        <f t="shared" ref="V24:V34" si="18">IF(T$12=0,0,T24/T$12)</f>
        <v>0.88352103071329169</v>
      </c>
      <c r="W24" s="4"/>
      <c r="X24" s="22">
        <f t="shared" ref="X24:X34" si="19">+P24-T24</f>
        <v>-39072.932004800008</v>
      </c>
      <c r="Y24" s="4"/>
      <c r="Z24" s="32">
        <f t="shared" ref="Z24:Z34" si="20">IF(T24=0,0,X24/T24)</f>
        <v>-0.49629787285975102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449.91489150000007</v>
      </c>
      <c r="I25" s="1"/>
      <c r="J25" s="5">
        <f t="shared" si="14"/>
        <v>2.2509250125075049E-2</v>
      </c>
      <c r="K25" s="1"/>
      <c r="L25" s="1">
        <f t="shared" si="15"/>
        <v>-449.91489150000007</v>
      </c>
      <c r="M25" s="1"/>
      <c r="N25" s="5">
        <f t="shared" si="16"/>
        <v>-1</v>
      </c>
      <c r="O25" s="13"/>
      <c r="P25" s="1">
        <f>SUM(OSRRefP22_0x_0)</f>
        <v>8751.99</v>
      </c>
      <c r="Q25" s="1"/>
      <c r="R25" s="5">
        <f t="shared" si="17"/>
        <v>3.5340585591588023</v>
      </c>
      <c r="S25" s="1"/>
      <c r="T25" s="1">
        <f>SUM(OSRRefT22_0x_0)</f>
        <v>3511.5520047999998</v>
      </c>
      <c r="U25" s="1"/>
      <c r="V25" s="5">
        <f t="shared" si="18"/>
        <v>3.9407819778246624E-2</v>
      </c>
      <c r="W25" s="1"/>
      <c r="X25" s="1">
        <f t="shared" si="19"/>
        <v>5240.4379951999999</v>
      </c>
      <c r="Y25" s="1"/>
      <c r="Z25" s="5">
        <f t="shared" si="20"/>
        <v>1.4923424138491346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157.34950649999999</v>
      </c>
      <c r="I26" s="2"/>
      <c r="J26" s="6">
        <f t="shared" si="14"/>
        <v>7.8721986441865118E-3</v>
      </c>
      <c r="K26" s="2"/>
      <c r="L26" s="7">
        <f t="shared" si="15"/>
        <v>-157.34950649999999</v>
      </c>
      <c r="M26" s="2"/>
      <c r="N26" s="6">
        <f t="shared" si="16"/>
        <v>-1</v>
      </c>
      <c r="O26" s="11"/>
      <c r="P26" s="7">
        <v>1667.09</v>
      </c>
      <c r="Q26" s="2"/>
      <c r="R26" s="6">
        <f t="shared" si="17"/>
        <v>0.67317189386505782</v>
      </c>
      <c r="S26" s="2"/>
      <c r="T26" s="7">
        <v>1435.9599407999999</v>
      </c>
      <c r="U26" s="2"/>
      <c r="V26" s="6">
        <f t="shared" si="18"/>
        <v>1.6114826287202046E-2</v>
      </c>
      <c r="W26" s="2"/>
      <c r="X26" s="7">
        <f t="shared" si="19"/>
        <v>231.13005920000001</v>
      </c>
      <c r="Y26" s="2"/>
      <c r="Z26" s="6">
        <f t="shared" si="20"/>
        <v>0.16095857038409661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105.918975</v>
      </c>
      <c r="I27" s="2"/>
      <c r="J27" s="6">
        <f t="shared" si="14"/>
        <v>5.2991282269361619E-3</v>
      </c>
      <c r="K27" s="2"/>
      <c r="L27" s="7">
        <f t="shared" si="15"/>
        <v>-105.918975</v>
      </c>
      <c r="M27" s="2"/>
      <c r="N27" s="6">
        <f t="shared" si="16"/>
        <v>-1</v>
      </c>
      <c r="O27" s="11"/>
      <c r="P27" s="7">
        <v>331.61</v>
      </c>
      <c r="Q27" s="2"/>
      <c r="R27" s="6">
        <f t="shared" si="17"/>
        <v>0.13390430734069056</v>
      </c>
      <c r="S27" s="2"/>
      <c r="T27" s="7">
        <v>751.43744000000004</v>
      </c>
      <c r="U27" s="2"/>
      <c r="V27" s="6">
        <f t="shared" si="18"/>
        <v>8.4328841405934378E-3</v>
      </c>
      <c r="W27" s="2"/>
      <c r="X27" s="7">
        <f t="shared" si="19"/>
        <v>-419.82744000000002</v>
      </c>
      <c r="Y27" s="2"/>
      <c r="Z27" s="6">
        <f t="shared" si="20"/>
        <v>-0.55869912470690841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3385.22</v>
      </c>
      <c r="Q28" s="2"/>
      <c r="R28" s="6">
        <f t="shared" si="17"/>
        <v>1.366953768872629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3385.22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14.885910000000001</v>
      </c>
      <c r="I29" s="2"/>
      <c r="J29" s="6">
        <f t="shared" si="14"/>
        <v>7.4474234540724442E-4</v>
      </c>
      <c r="K29" s="2"/>
      <c r="L29" s="7">
        <f t="shared" si="15"/>
        <v>-14.885910000000001</v>
      </c>
      <c r="M29" s="2"/>
      <c r="N29" s="6">
        <f t="shared" si="16"/>
        <v>-1</v>
      </c>
      <c r="O29" s="11"/>
      <c r="P29" s="7">
        <v>62.01</v>
      </c>
      <c r="Q29" s="2"/>
      <c r="R29" s="6">
        <f t="shared" si="17"/>
        <v>2.5039673406098192E-2</v>
      </c>
      <c r="S29" s="2"/>
      <c r="T29" s="7">
        <v>105.60742399999999</v>
      </c>
      <c r="U29" s="2"/>
      <c r="V29" s="6">
        <f t="shared" si="18"/>
        <v>1.1851620954347532E-3</v>
      </c>
      <c r="W29" s="2"/>
      <c r="X29" s="7">
        <f t="shared" si="19"/>
        <v>-43.597423999999997</v>
      </c>
      <c r="Y29" s="2"/>
      <c r="Z29" s="6">
        <f t="shared" si="20"/>
        <v>-0.41282537106482209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1254.1099999999999</v>
      </c>
      <c r="Q30" s="2"/>
      <c r="R30" s="6">
        <f t="shared" si="17"/>
        <v>0.50641033406421232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1254.1099999999999</v>
      </c>
      <c r="Y30" s="2"/>
      <c r="Z30" s="6">
        <f t="shared" si="20"/>
        <v>0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>
        <v>958.88</v>
      </c>
      <c r="Q32" s="2"/>
      <c r="R32" s="6">
        <f t="shared" si="17"/>
        <v>0.38719629149555612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958.88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171.76050000000001</v>
      </c>
      <c r="I33" s="2"/>
      <c r="J33" s="6">
        <f t="shared" si="14"/>
        <v>8.5931809085451269E-3</v>
      </c>
      <c r="K33" s="2"/>
      <c r="L33" s="7">
        <f t="shared" si="15"/>
        <v>-171.76050000000001</v>
      </c>
      <c r="M33" s="2"/>
      <c r="N33" s="6">
        <f t="shared" si="16"/>
        <v>-1</v>
      </c>
      <c r="O33" s="11"/>
      <c r="P33" s="7">
        <v>767.52</v>
      </c>
      <c r="Q33" s="2"/>
      <c r="R33" s="6">
        <f t="shared" si="17"/>
        <v>0.30992501423397006</v>
      </c>
      <c r="S33" s="2"/>
      <c r="T33" s="7">
        <v>1218.5472</v>
      </c>
      <c r="U33" s="2"/>
      <c r="V33" s="6">
        <f t="shared" si="18"/>
        <v>1.3674947255016385E-2</v>
      </c>
      <c r="W33" s="2"/>
      <c r="X33" s="7">
        <f t="shared" si="19"/>
        <v>-451.02719999999999</v>
      </c>
      <c r="Y33" s="2"/>
      <c r="Z33" s="6">
        <f t="shared" si="20"/>
        <v>-0.37013519049569849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325.55</v>
      </c>
      <c r="Q34" s="2"/>
      <c r="R34" s="6">
        <f t="shared" si="17"/>
        <v>0.13145727588058809</v>
      </c>
      <c r="S34" s="2"/>
      <c r="T34" s="7"/>
      <c r="U34" s="2"/>
      <c r="V34" s="6">
        <f t="shared" si="18"/>
        <v>0</v>
      </c>
      <c r="W34" s="2"/>
      <c r="X34" s="7">
        <f t="shared" si="19"/>
        <v>325.55</v>
      </c>
      <c r="Y34" s="2"/>
      <c r="Z34" s="6">
        <f t="shared" si="20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5725.35</v>
      </c>
      <c r="I35" s="1"/>
      <c r="J35" s="5">
        <f t="shared" ref="J35:J45" si="22">IF(H$12=0,0,H35/H$12)</f>
        <v>0.28643936361817091</v>
      </c>
      <c r="K35" s="1"/>
      <c r="L35" s="1">
        <f t="shared" ref="L35:L45" si="23">+D35-H35</f>
        <v>-5725.35</v>
      </c>
      <c r="M35" s="1"/>
      <c r="N35" s="5">
        <f t="shared" ref="N35:N45" si="24">IF(H35=0,0,L35/H35)</f>
        <v>-1</v>
      </c>
      <c r="O35" s="13"/>
      <c r="P35" s="1">
        <f>SUM(OSRRefP22_1x_0)</f>
        <v>15859.96</v>
      </c>
      <c r="Q35" s="1"/>
      <c r="R35" s="5">
        <f t="shared" ref="R35:R45" si="25">IF(P$12=0,0,P35/P$12)</f>
        <v>6.404260903624917</v>
      </c>
      <c r="S35" s="1"/>
      <c r="T35" s="1">
        <f>SUM(OSRRefT22_1x_0)</f>
        <v>40618.240000000005</v>
      </c>
      <c r="U35" s="1"/>
      <c r="V35" s="5">
        <f t="shared" ref="V35:V45" si="26">IF(T$12=0,0,T35/T$12)</f>
        <v>0.4558315751672129</v>
      </c>
      <c r="W35" s="1"/>
      <c r="X35" s="1">
        <f t="shared" ref="X35:X45" si="27">+P35-T35</f>
        <v>-24758.280000000006</v>
      </c>
      <c r="Y35" s="1"/>
      <c r="Z35" s="5">
        <f t="shared" ref="Z35:Z45" si="28">IF(T35=0,0,X35/T35)</f>
        <v>-0.60953601140768288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13728</v>
      </c>
      <c r="Q37" s="2"/>
      <c r="R37" s="6">
        <f t="shared" si="25"/>
        <v>5.5433742383311726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13728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2056.0500000000002</v>
      </c>
      <c r="I39" s="2"/>
      <c r="J39" s="6">
        <f t="shared" si="22"/>
        <v>0.10286421853111868</v>
      </c>
      <c r="K39" s="2"/>
      <c r="L39" s="7">
        <f t="shared" si="23"/>
        <v>-2056.0500000000002</v>
      </c>
      <c r="M39" s="2"/>
      <c r="N39" s="6">
        <f t="shared" si="24"/>
        <v>-1</v>
      </c>
      <c r="O39" s="11"/>
      <c r="P39" s="7"/>
      <c r="Q39" s="2"/>
      <c r="R39" s="6">
        <f t="shared" si="25"/>
        <v>0</v>
      </c>
      <c r="S39" s="2"/>
      <c r="T39" s="7">
        <v>18763.36</v>
      </c>
      <c r="U39" s="2"/>
      <c r="V39" s="6">
        <f t="shared" si="26"/>
        <v>0.21056874803609105</v>
      </c>
      <c r="W39" s="2"/>
      <c r="X39" s="7">
        <f t="shared" si="27"/>
        <v>-18763.36</v>
      </c>
      <c r="Y39" s="2"/>
      <c r="Z39" s="6">
        <f t="shared" si="28"/>
        <v>-1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1846.8</v>
      </c>
      <c r="I40" s="2"/>
      <c r="J40" s="6">
        <f t="shared" si="22"/>
        <v>9.2395437262357411E-2</v>
      </c>
      <c r="K40" s="2"/>
      <c r="L40" s="7">
        <f t="shared" si="23"/>
        <v>-1846.8</v>
      </c>
      <c r="M40" s="2"/>
      <c r="N40" s="6">
        <f t="shared" si="24"/>
        <v>-1</v>
      </c>
      <c r="O40" s="11"/>
      <c r="P40" s="7">
        <v>2131.96</v>
      </c>
      <c r="Q40" s="2"/>
      <c r="R40" s="6">
        <f t="shared" si="25"/>
        <v>0.86088666529374469</v>
      </c>
      <c r="S40" s="2"/>
      <c r="T40" s="7">
        <v>6032.88</v>
      </c>
      <c r="U40" s="2"/>
      <c r="V40" s="6">
        <f t="shared" si="26"/>
        <v>6.7703012075234548E-2</v>
      </c>
      <c r="W40" s="2"/>
      <c r="X40" s="7">
        <f t="shared" si="27"/>
        <v>-3900.92</v>
      </c>
      <c r="Y40" s="2"/>
      <c r="Z40" s="6">
        <f t="shared" si="28"/>
        <v>-0.64660991102093857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0</v>
      </c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1822.5</v>
      </c>
      <c r="I43" s="2"/>
      <c r="J43" s="6">
        <f t="shared" si="22"/>
        <v>9.1179707824694811E-2</v>
      </c>
      <c r="K43" s="2"/>
      <c r="L43" s="7">
        <f t="shared" si="23"/>
        <v>-1822.5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15822</v>
      </c>
      <c r="U43" s="2"/>
      <c r="V43" s="6">
        <f t="shared" si="26"/>
        <v>0.17755981505588725</v>
      </c>
      <c r="W43" s="2"/>
      <c r="X43" s="7">
        <f t="shared" si="27"/>
        <v>-15822</v>
      </c>
      <c r="Y43" s="2"/>
      <c r="Z43" s="6">
        <f t="shared" si="28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8" si="29">IF(D$12=0,0,D46/D$12)</f>
        <v>0</v>
      </c>
      <c r="G46" s="1"/>
      <c r="H46" s="1">
        <f>SUM(OSRRefH22_2x_0)</f>
        <v>100</v>
      </c>
      <c r="I46" s="1"/>
      <c r="J46" s="5">
        <f t="shared" ref="J46:J58" si="30">IF(H$12=0,0,H46/H$12)</f>
        <v>5.003001801080648E-3</v>
      </c>
      <c r="K46" s="1"/>
      <c r="L46" s="1">
        <f t="shared" ref="L46:L58" si="31">+D46-H46</f>
        <v>-100</v>
      </c>
      <c r="M46" s="1"/>
      <c r="N46" s="5">
        <f t="shared" ref="N46:N58" si="32">IF(H46=0,0,L46/H46)</f>
        <v>-1</v>
      </c>
      <c r="O46" s="13"/>
      <c r="P46" s="1">
        <f>SUM(OSRRefP22_2x_0)</f>
        <v>0</v>
      </c>
      <c r="Q46" s="1"/>
      <c r="R46" s="5">
        <f t="shared" ref="R46:R58" si="33">IF(P$12=0,0,P46/P$12)</f>
        <v>0</v>
      </c>
      <c r="S46" s="1"/>
      <c r="T46" s="1">
        <f>SUM(OSRRefT22_2x_0)</f>
        <v>800</v>
      </c>
      <c r="U46" s="1"/>
      <c r="V46" s="5">
        <f t="shared" ref="V46:V58" si="34">IF(T$12=0,0,T46/T$12)</f>
        <v>8.9778695515554154E-3</v>
      </c>
      <c r="W46" s="1"/>
      <c r="X46" s="1">
        <f t="shared" ref="X46:X58" si="35">+P46-T46</f>
        <v>-800</v>
      </c>
      <c r="Y46" s="1"/>
      <c r="Z46" s="5">
        <f t="shared" ref="Z46:Z58" si="36">IF(T46=0,0,X46/T46)</f>
        <v>-1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100</v>
      </c>
      <c r="I47" s="2"/>
      <c r="J47" s="6">
        <f t="shared" si="30"/>
        <v>5.003001801080648E-3</v>
      </c>
      <c r="K47" s="2"/>
      <c r="L47" s="7">
        <f t="shared" si="31"/>
        <v>-100</v>
      </c>
      <c r="M47" s="2"/>
      <c r="N47" s="6">
        <f t="shared" si="32"/>
        <v>-1</v>
      </c>
      <c r="O47" s="11"/>
      <c r="P47" s="7"/>
      <c r="Q47" s="2"/>
      <c r="R47" s="6">
        <f t="shared" si="33"/>
        <v>0</v>
      </c>
      <c r="S47" s="2"/>
      <c r="T47" s="7">
        <v>800</v>
      </c>
      <c r="U47" s="2"/>
      <c r="V47" s="6">
        <f t="shared" si="34"/>
        <v>8.9778695515554154E-3</v>
      </c>
      <c r="W47" s="2"/>
      <c r="X47" s="7">
        <f t="shared" si="35"/>
        <v>-800</v>
      </c>
      <c r="Y47" s="2"/>
      <c r="Z47" s="6">
        <f t="shared" si="36"/>
        <v>-1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3.31</v>
      </c>
      <c r="Q48" s="1"/>
      <c r="R48" s="5">
        <f t="shared" si="33"/>
        <v>1.3365798899239642E-3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3.31</v>
      </c>
      <c r="Y48" s="1"/>
      <c r="Z48" s="5">
        <f t="shared" si="36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3.31</v>
      </c>
      <c r="Q49" s="2"/>
      <c r="R49" s="6">
        <f t="shared" si="33"/>
        <v>1.3365798899239642E-3</v>
      </c>
      <c r="S49" s="2"/>
      <c r="T49" s="7"/>
      <c r="U49" s="2"/>
      <c r="V49" s="6">
        <f t="shared" si="34"/>
        <v>0</v>
      </c>
      <c r="W49" s="2"/>
      <c r="X49" s="7">
        <f t="shared" si="35"/>
        <v>3.31</v>
      </c>
      <c r="Y49" s="2"/>
      <c r="Z49" s="6">
        <f t="shared" si="36"/>
        <v>0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224.95</v>
      </c>
      <c r="E50" s="1"/>
      <c r="F50" s="5">
        <f t="shared" si="29"/>
        <v>0</v>
      </c>
      <c r="G50" s="1"/>
      <c r="H50" s="1">
        <f>SUM(OSRRefH22_4x_0)</f>
        <v>1266</v>
      </c>
      <c r="I50" s="1"/>
      <c r="J50" s="5">
        <f t="shared" si="30"/>
        <v>6.3338002801681004E-2</v>
      </c>
      <c r="K50" s="1"/>
      <c r="L50" s="1">
        <f t="shared" si="31"/>
        <v>-1041.05</v>
      </c>
      <c r="M50" s="1"/>
      <c r="N50" s="5">
        <f t="shared" si="32"/>
        <v>-0.82231437598736168</v>
      </c>
      <c r="O50" s="13"/>
      <c r="P50" s="1">
        <f>SUM(OSRRefP22_4x_0)</f>
        <v>1348.18</v>
      </c>
      <c r="Q50" s="1"/>
      <c r="R50" s="5">
        <f t="shared" si="33"/>
        <v>0.54439585377573718</v>
      </c>
      <c r="S50" s="1"/>
      <c r="T50" s="1">
        <f>SUM(OSRRefT22_4x_0)</f>
        <v>5645</v>
      </c>
      <c r="U50" s="1"/>
      <c r="V50" s="5">
        <f t="shared" si="34"/>
        <v>6.3350092023162899E-2</v>
      </c>
      <c r="W50" s="1"/>
      <c r="X50" s="1">
        <f t="shared" si="35"/>
        <v>-4296.82</v>
      </c>
      <c r="Y50" s="1"/>
      <c r="Z50" s="5">
        <f t="shared" si="36"/>
        <v>-0.76117271922054908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>
        <v>224.95</v>
      </c>
      <c r="E51" s="2"/>
      <c r="F51" s="6">
        <f t="shared" si="29"/>
        <v>0</v>
      </c>
      <c r="G51" s="2"/>
      <c r="H51" s="7">
        <v>1266</v>
      </c>
      <c r="I51" s="2"/>
      <c r="J51" s="6">
        <f t="shared" si="30"/>
        <v>6.3338002801681004E-2</v>
      </c>
      <c r="K51" s="2"/>
      <c r="L51" s="7">
        <f t="shared" si="31"/>
        <v>-1041.05</v>
      </c>
      <c r="M51" s="2"/>
      <c r="N51" s="6">
        <f t="shared" si="32"/>
        <v>-0.82231437598736168</v>
      </c>
      <c r="O51" s="11"/>
      <c r="P51" s="7">
        <v>1348.18</v>
      </c>
      <c r="Q51" s="2"/>
      <c r="R51" s="6">
        <f t="shared" si="33"/>
        <v>0.54439585377573718</v>
      </c>
      <c r="S51" s="2"/>
      <c r="T51" s="7">
        <v>5645</v>
      </c>
      <c r="U51" s="2"/>
      <c r="V51" s="6">
        <f t="shared" si="34"/>
        <v>6.3350092023162899E-2</v>
      </c>
      <c r="W51" s="2"/>
      <c r="X51" s="7">
        <f t="shared" si="35"/>
        <v>-4296.82</v>
      </c>
      <c r="Y51" s="2"/>
      <c r="Z51" s="6">
        <f t="shared" si="36"/>
        <v>-0.76117271922054908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1075.3699999999999</v>
      </c>
      <c r="E52" s="1"/>
      <c r="F52" s="5">
        <f t="shared" si="29"/>
        <v>0</v>
      </c>
      <c r="G52" s="1"/>
      <c r="H52" s="1">
        <f>SUM(OSRRefH22_5x_0)</f>
        <v>1075</v>
      </c>
      <c r="I52" s="1"/>
      <c r="J52" s="5">
        <f t="shared" si="30"/>
        <v>5.3782269361616973E-2</v>
      </c>
      <c r="K52" s="1"/>
      <c r="L52" s="1">
        <f t="shared" si="31"/>
        <v>0.36999999999989086</v>
      </c>
      <c r="M52" s="1"/>
      <c r="N52" s="5">
        <f t="shared" si="32"/>
        <v>3.4418604651152636E-4</v>
      </c>
      <c r="O52" s="13"/>
      <c r="P52" s="1">
        <f>SUM(OSRRefP22_5x_0)</f>
        <v>9678.33</v>
      </c>
      <c r="Q52" s="1"/>
      <c r="R52" s="5">
        <f t="shared" si="33"/>
        <v>3.9081151800748644</v>
      </c>
      <c r="S52" s="1"/>
      <c r="T52" s="1">
        <f>SUM(OSRRefT22_5x_0)</f>
        <v>9675</v>
      </c>
      <c r="U52" s="1"/>
      <c r="V52" s="5">
        <f t="shared" si="34"/>
        <v>0.10857610988912331</v>
      </c>
      <c r="W52" s="1"/>
      <c r="X52" s="1">
        <f t="shared" si="35"/>
        <v>3.3299999999999272</v>
      </c>
      <c r="Y52" s="1"/>
      <c r="Z52" s="5">
        <f t="shared" si="36"/>
        <v>3.4418604651162036E-4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1075.3699999999999</v>
      </c>
      <c r="E53" s="2"/>
      <c r="F53" s="6">
        <f t="shared" si="29"/>
        <v>0</v>
      </c>
      <c r="G53" s="2"/>
      <c r="H53" s="7">
        <v>1075</v>
      </c>
      <c r="I53" s="2"/>
      <c r="J53" s="6">
        <f t="shared" si="30"/>
        <v>5.3782269361616973E-2</v>
      </c>
      <c r="K53" s="2"/>
      <c r="L53" s="7">
        <f t="shared" si="31"/>
        <v>0.36999999999989086</v>
      </c>
      <c r="M53" s="2"/>
      <c r="N53" s="6">
        <f t="shared" si="32"/>
        <v>3.4418604651152636E-4</v>
      </c>
      <c r="O53" s="11"/>
      <c r="P53" s="7">
        <v>9678.33</v>
      </c>
      <c r="Q53" s="2"/>
      <c r="R53" s="6">
        <f t="shared" si="33"/>
        <v>3.9081151800748644</v>
      </c>
      <c r="S53" s="2"/>
      <c r="T53" s="7">
        <v>9675</v>
      </c>
      <c r="U53" s="2"/>
      <c r="V53" s="6">
        <f t="shared" si="34"/>
        <v>0.10857610988912331</v>
      </c>
      <c r="W53" s="2"/>
      <c r="X53" s="7">
        <f t="shared" si="35"/>
        <v>3.3299999999999272</v>
      </c>
      <c r="Y53" s="2"/>
      <c r="Z53" s="6">
        <f t="shared" si="36"/>
        <v>3.4418604651162036E-4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SUM(OSRRefD22_6x_0)</f>
        <v>646.37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646.37</v>
      </c>
      <c r="M54" s="1"/>
      <c r="N54" s="5">
        <f t="shared" si="32"/>
        <v>0</v>
      </c>
      <c r="O54" s="13"/>
      <c r="P54" s="1">
        <f>SUM(OSRRefP22_6x_0)</f>
        <v>1785.31</v>
      </c>
      <c r="Q54" s="1"/>
      <c r="R54" s="5">
        <f t="shared" si="33"/>
        <v>0.72090919736560499</v>
      </c>
      <c r="S54" s="1"/>
      <c r="T54" s="1">
        <f>SUM(OSRRefT22_6x_0)</f>
        <v>1000</v>
      </c>
      <c r="U54" s="1"/>
      <c r="V54" s="5">
        <f t="shared" si="34"/>
        <v>1.122233693944427E-2</v>
      </c>
      <c r="W54" s="1"/>
      <c r="X54" s="1">
        <f t="shared" si="35"/>
        <v>785.31</v>
      </c>
      <c r="Y54" s="1"/>
      <c r="Z54" s="5">
        <f t="shared" si="36"/>
        <v>0.78530999999999995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>
        <v>646.37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646.37</v>
      </c>
      <c r="M55" s="2"/>
      <c r="N55" s="6">
        <f t="shared" si="32"/>
        <v>0</v>
      </c>
      <c r="O55" s="11"/>
      <c r="P55" s="7">
        <v>1785.31</v>
      </c>
      <c r="Q55" s="2"/>
      <c r="R55" s="6">
        <f t="shared" si="33"/>
        <v>0.72090919736560499</v>
      </c>
      <c r="S55" s="2"/>
      <c r="T55" s="7">
        <v>1000</v>
      </c>
      <c r="U55" s="2"/>
      <c r="V55" s="6">
        <f t="shared" si="34"/>
        <v>1.122233693944427E-2</v>
      </c>
      <c r="W55" s="2"/>
      <c r="X55" s="7">
        <f t="shared" si="35"/>
        <v>785.31</v>
      </c>
      <c r="Y55" s="2"/>
      <c r="Z55" s="6">
        <f t="shared" si="36"/>
        <v>0.78530999999999995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SUM(OSRRefD22_7x_0)</f>
        <v>48.23</v>
      </c>
      <c r="E56" s="1"/>
      <c r="F56" s="5">
        <f t="shared" si="29"/>
        <v>0</v>
      </c>
      <c r="G56" s="1"/>
      <c r="H56" s="1">
        <f>SUM(OSRRefH22_7x_0)</f>
        <v>250</v>
      </c>
      <c r="I56" s="1"/>
      <c r="J56" s="5">
        <f t="shared" si="30"/>
        <v>1.2507504502701621E-2</v>
      </c>
      <c r="K56" s="1"/>
      <c r="L56" s="1">
        <f t="shared" si="31"/>
        <v>-201.77</v>
      </c>
      <c r="M56" s="1"/>
      <c r="N56" s="5">
        <f t="shared" si="32"/>
        <v>-0.80708000000000002</v>
      </c>
      <c r="O56" s="13"/>
      <c r="P56" s="1">
        <f>SUM(OSRRefP22_7x_0)</f>
        <v>540.85</v>
      </c>
      <c r="Q56" s="1"/>
      <c r="R56" s="5">
        <f t="shared" si="33"/>
        <v>0.21839553881129187</v>
      </c>
      <c r="S56" s="1"/>
      <c r="T56" s="1">
        <f>SUM(OSRRefT22_7x_0)</f>
        <v>2000</v>
      </c>
      <c r="U56" s="1"/>
      <c r="V56" s="5">
        <f t="shared" si="34"/>
        <v>2.244467387888854E-2</v>
      </c>
      <c r="W56" s="1"/>
      <c r="X56" s="1">
        <f t="shared" si="35"/>
        <v>-1459.15</v>
      </c>
      <c r="Y56" s="1"/>
      <c r="Z56" s="5">
        <f t="shared" si="36"/>
        <v>-0.72957500000000008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7">
        <v>48.23</v>
      </c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48.23</v>
      </c>
      <c r="M57" s="2"/>
      <c r="N57" s="6">
        <f t="shared" si="32"/>
        <v>0</v>
      </c>
      <c r="O57" s="11"/>
      <c r="P57" s="7">
        <v>223.29</v>
      </c>
      <c r="Q57" s="2"/>
      <c r="R57" s="6">
        <f t="shared" si="33"/>
        <v>9.0164629492786086E-2</v>
      </c>
      <c r="S57" s="2"/>
      <c r="T57" s="7"/>
      <c r="U57" s="2"/>
      <c r="V57" s="6">
        <f t="shared" si="34"/>
        <v>0</v>
      </c>
      <c r="W57" s="2"/>
      <c r="X57" s="7">
        <f t="shared" si="35"/>
        <v>223.29</v>
      </c>
      <c r="Y57" s="2"/>
      <c r="Z57" s="6">
        <f t="shared" si="36"/>
        <v>0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>
        <v>250</v>
      </c>
      <c r="I58" s="2"/>
      <c r="J58" s="6">
        <f t="shared" si="30"/>
        <v>1.2507504502701621E-2</v>
      </c>
      <c r="K58" s="2"/>
      <c r="L58" s="7">
        <f t="shared" si="31"/>
        <v>-250</v>
      </c>
      <c r="M58" s="2"/>
      <c r="N58" s="6">
        <f t="shared" si="32"/>
        <v>-1</v>
      </c>
      <c r="O58" s="11"/>
      <c r="P58" s="7">
        <v>317.56</v>
      </c>
      <c r="Q58" s="2"/>
      <c r="R58" s="6">
        <f t="shared" si="33"/>
        <v>0.12823090931850575</v>
      </c>
      <c r="S58" s="2"/>
      <c r="T58" s="7">
        <v>2000</v>
      </c>
      <c r="U58" s="2"/>
      <c r="V58" s="6">
        <f t="shared" si="34"/>
        <v>2.244467387888854E-2</v>
      </c>
      <c r="W58" s="2"/>
      <c r="X58" s="7">
        <f t="shared" si="35"/>
        <v>-1682.44</v>
      </c>
      <c r="Y58" s="2"/>
      <c r="Z58" s="6">
        <f t="shared" si="36"/>
        <v>-0.84122000000000008</v>
      </c>
    </row>
    <row r="59" spans="1:26" s="25" customFormat="1" outlineLevel="1" collapsed="1" x14ac:dyDescent="0.25">
      <c r="A59" s="27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SUM(OSRRefD22_8x_0)</f>
        <v>0</v>
      </c>
      <c r="E59" s="1"/>
      <c r="F59" s="5">
        <f t="shared" ref="F59:F61" si="37">IF(D$12=0,0,D59/D$12)</f>
        <v>0</v>
      </c>
      <c r="G59" s="1"/>
      <c r="H59" s="1">
        <f>SUM(OSRRefH22_8x_0)</f>
        <v>1779</v>
      </c>
      <c r="I59" s="1"/>
      <c r="J59" s="5">
        <f t="shared" ref="J59:J61" si="38">IF(H$12=0,0,H59/H$12)</f>
        <v>8.9003402041224741E-2</v>
      </c>
      <c r="K59" s="1"/>
      <c r="L59" s="1">
        <f t="shared" ref="L59:L61" si="39">+D59-H59</f>
        <v>-1779</v>
      </c>
      <c r="M59" s="1"/>
      <c r="N59" s="5">
        <f t="shared" ref="N59:N61" si="40">IF(H59=0,0,L59/H59)</f>
        <v>-1</v>
      </c>
      <c r="O59" s="13"/>
      <c r="P59" s="1">
        <f>SUM(OSRRefP22_8x_0)</f>
        <v>185.7</v>
      </c>
      <c r="Q59" s="1"/>
      <c r="R59" s="5">
        <f t="shared" ref="R59:R61" si="41">IF(P$12=0,0,P59/P$12)</f>
        <v>7.4985766029873155E-2</v>
      </c>
      <c r="S59" s="1"/>
      <c r="T59" s="1">
        <f>SUM(OSRRefT22_8x_0)</f>
        <v>8002</v>
      </c>
      <c r="U59" s="1"/>
      <c r="V59" s="5">
        <f t="shared" ref="V59:V61" si="42">IF(T$12=0,0,T59/T$12)</f>
        <v>8.9801140189433054E-2</v>
      </c>
      <c r="W59" s="1"/>
      <c r="X59" s="1">
        <f t="shared" ref="X59:X61" si="43">+P59-T59</f>
        <v>-7816.3</v>
      </c>
      <c r="Y59" s="1"/>
      <c r="Z59" s="5">
        <f t="shared" ref="Z59:Z61" si="44">IF(T59=0,0,X59/T59)</f>
        <v>-0.97679330167458134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185.7</v>
      </c>
      <c r="Q60" s="2"/>
      <c r="R60" s="6">
        <f t="shared" si="41"/>
        <v>7.4985766029873155E-2</v>
      </c>
      <c r="S60" s="2"/>
      <c r="T60" s="7"/>
      <c r="U60" s="2"/>
      <c r="V60" s="6">
        <f t="shared" si="42"/>
        <v>0</v>
      </c>
      <c r="W60" s="2"/>
      <c r="X60" s="7">
        <f t="shared" si="43"/>
        <v>185.7</v>
      </c>
      <c r="Y60" s="2"/>
      <c r="Z60" s="6">
        <f t="shared" si="44"/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1779</v>
      </c>
      <c r="I61" s="2"/>
      <c r="J61" s="6">
        <f t="shared" si="38"/>
        <v>8.9003402041224741E-2</v>
      </c>
      <c r="K61" s="2"/>
      <c r="L61" s="7">
        <f t="shared" si="39"/>
        <v>-1779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8002</v>
      </c>
      <c r="U61" s="2"/>
      <c r="V61" s="6">
        <f t="shared" si="42"/>
        <v>8.9801140189433054E-2</v>
      </c>
      <c r="W61" s="2"/>
      <c r="X61" s="7">
        <f t="shared" si="43"/>
        <v>-8002</v>
      </c>
      <c r="Y61" s="2"/>
      <c r="Z61" s="6">
        <f t="shared" si="44"/>
        <v>-1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0</v>
      </c>
      <c r="E62" s="1"/>
      <c r="F62" s="5">
        <f t="shared" ref="F62:F64" si="45">IF(D$12=0,0,D62/D$12)</f>
        <v>0</v>
      </c>
      <c r="G62" s="1"/>
      <c r="H62" s="1">
        <f>SUM(OSRRefH22_9x_0)</f>
        <v>287</v>
      </c>
      <c r="I62" s="1"/>
      <c r="J62" s="5">
        <f t="shared" ref="J62:J64" si="46">IF(H$12=0,0,H62/H$12)</f>
        <v>1.435861516910146E-2</v>
      </c>
      <c r="K62" s="1"/>
      <c r="L62" s="1">
        <f t="shared" ref="L62:L64" si="47">+D62-H62</f>
        <v>-287</v>
      </c>
      <c r="M62" s="1"/>
      <c r="N62" s="5">
        <f t="shared" ref="N62:N64" si="48">IF(H62=0,0,L62/H62)</f>
        <v>-1</v>
      </c>
      <c r="O62" s="13"/>
      <c r="P62" s="1">
        <f>SUM(OSRRefP22_9x_0)</f>
        <v>-63.319999999999993</v>
      </c>
      <c r="Q62" s="1"/>
      <c r="R62" s="5">
        <f t="shared" ref="R62:R64" si="49">IF(P$12=0,0,P62/P$12)</f>
        <v>-2.556865215407414E-2</v>
      </c>
      <c r="S62" s="1"/>
      <c r="T62" s="1">
        <f>SUM(OSRRefT22_9x_0)</f>
        <v>2296</v>
      </c>
      <c r="U62" s="1"/>
      <c r="V62" s="5">
        <f t="shared" ref="V62:V64" si="50">IF(T$12=0,0,T62/T$12)</f>
        <v>2.5766485612964043E-2</v>
      </c>
      <c r="W62" s="1"/>
      <c r="X62" s="1">
        <f t="shared" ref="X62:X64" si="51">+P62-T62</f>
        <v>-2359.3200000000002</v>
      </c>
      <c r="Y62" s="1"/>
      <c r="Z62" s="5">
        <f t="shared" ref="Z62:Z64" si="52">IF(T62=0,0,X62/T62)</f>
        <v>-1.0275783972125436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>
        <v>82</v>
      </c>
      <c r="Q63" s="2"/>
      <c r="R63" s="6">
        <f t="shared" si="49"/>
        <v>3.3111646819868598E-2</v>
      </c>
      <c r="S63" s="2"/>
      <c r="T63" s="7"/>
      <c r="U63" s="2"/>
      <c r="V63" s="6">
        <f t="shared" si="50"/>
        <v>0</v>
      </c>
      <c r="W63" s="2"/>
      <c r="X63" s="7">
        <f t="shared" si="51"/>
        <v>82</v>
      </c>
      <c r="Y63" s="2"/>
      <c r="Z63" s="6">
        <f t="shared" si="52"/>
        <v>0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5"/>
        <v>0</v>
      </c>
      <c r="G64" s="2"/>
      <c r="H64" s="7">
        <v>287</v>
      </c>
      <c r="I64" s="2"/>
      <c r="J64" s="6">
        <f t="shared" si="46"/>
        <v>1.435861516910146E-2</v>
      </c>
      <c r="K64" s="2"/>
      <c r="L64" s="7">
        <f t="shared" si="47"/>
        <v>-287</v>
      </c>
      <c r="M64" s="2"/>
      <c r="N64" s="6">
        <f t="shared" si="48"/>
        <v>-1</v>
      </c>
      <c r="O64" s="11"/>
      <c r="P64" s="7">
        <v>-145.32</v>
      </c>
      <c r="Q64" s="2"/>
      <c r="R64" s="6">
        <f t="shared" si="49"/>
        <v>-5.8680298973942738E-2</v>
      </c>
      <c r="S64" s="2"/>
      <c r="T64" s="7">
        <v>2296</v>
      </c>
      <c r="U64" s="2"/>
      <c r="V64" s="6">
        <f t="shared" si="50"/>
        <v>2.5766485612964043E-2</v>
      </c>
      <c r="W64" s="2"/>
      <c r="X64" s="7">
        <f t="shared" si="51"/>
        <v>-2441.3200000000002</v>
      </c>
      <c r="Y64" s="2"/>
      <c r="Z64" s="6">
        <f t="shared" si="52"/>
        <v>-1.0632926829268294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0</v>
      </c>
      <c r="E65" s="1"/>
      <c r="F65" s="5">
        <f t="shared" ref="F65:F68" si="53">IF(D$12=0,0,D65/D$12)</f>
        <v>0</v>
      </c>
      <c r="G65" s="1"/>
      <c r="H65" s="1">
        <f>SUM(OSRRefH22_10x_0)</f>
        <v>467</v>
      </c>
      <c r="I65" s="1"/>
      <c r="J65" s="5">
        <f t="shared" ref="J65:J68" si="54">IF(H$12=0,0,H65/H$12)</f>
        <v>2.3364018411046628E-2</v>
      </c>
      <c r="K65" s="1"/>
      <c r="L65" s="1">
        <f t="shared" ref="L65:L68" si="55">+D65-H65</f>
        <v>-467</v>
      </c>
      <c r="M65" s="1"/>
      <c r="N65" s="5">
        <f t="shared" ref="N65:N68" si="56">IF(H65=0,0,L65/H65)</f>
        <v>-1</v>
      </c>
      <c r="O65" s="13"/>
      <c r="P65" s="1">
        <f>SUM(OSRRefP22_10x_0)</f>
        <v>328.55</v>
      </c>
      <c r="Q65" s="1"/>
      <c r="R65" s="5">
        <f t="shared" ref="R65:R68" si="57">IF(P$12=0,0,P65/P$12)</f>
        <v>0.13266867759351011</v>
      </c>
      <c r="S65" s="1"/>
      <c r="T65" s="1">
        <f>SUM(OSRRefT22_10x_0)</f>
        <v>3936</v>
      </c>
      <c r="U65" s="1"/>
      <c r="V65" s="5">
        <f t="shared" ref="V65:V68" si="58">IF(T$12=0,0,T65/T$12)</f>
        <v>4.4171118193652645E-2</v>
      </c>
      <c r="W65" s="1"/>
      <c r="X65" s="1">
        <f t="shared" ref="X65:X68" si="59">+P65-T65</f>
        <v>-3607.45</v>
      </c>
      <c r="Y65" s="1"/>
      <c r="Z65" s="5">
        <f t="shared" ref="Z65:Z68" si="60">IF(T65=0,0,X65/T65)</f>
        <v>-0.91652693089430892</v>
      </c>
    </row>
    <row r="66" spans="1:26" s="24" customFormat="1" hidden="1" outlineLevel="2" x14ac:dyDescent="0.25">
      <c r="A66" s="26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3"/>
        <v>0</v>
      </c>
      <c r="G66" s="2"/>
      <c r="H66" s="7">
        <v>200</v>
      </c>
      <c r="I66" s="2"/>
      <c r="J66" s="6">
        <f t="shared" si="54"/>
        <v>1.0006003602161296E-2</v>
      </c>
      <c r="K66" s="2"/>
      <c r="L66" s="7">
        <f t="shared" si="55"/>
        <v>-200</v>
      </c>
      <c r="M66" s="2"/>
      <c r="N66" s="6">
        <f t="shared" si="56"/>
        <v>-1</v>
      </c>
      <c r="O66" s="11"/>
      <c r="P66" s="7">
        <v>207.27</v>
      </c>
      <c r="Q66" s="2"/>
      <c r="R66" s="6">
        <f t="shared" si="57"/>
        <v>8.3695744345782502E-2</v>
      </c>
      <c r="S66" s="2"/>
      <c r="T66" s="7">
        <v>1600</v>
      </c>
      <c r="U66" s="2"/>
      <c r="V66" s="6">
        <f t="shared" si="58"/>
        <v>1.7955739103110831E-2</v>
      </c>
      <c r="W66" s="2"/>
      <c r="X66" s="7">
        <f t="shared" si="59"/>
        <v>-1392.73</v>
      </c>
      <c r="Y66" s="2"/>
      <c r="Z66" s="6">
        <f t="shared" si="60"/>
        <v>-0.87045625000000004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53"/>
        <v>0</v>
      </c>
      <c r="G67" s="2"/>
      <c r="H67" s="7">
        <v>267</v>
      </c>
      <c r="I67" s="2"/>
      <c r="J67" s="6">
        <f t="shared" si="54"/>
        <v>1.3358014808885332E-2</v>
      </c>
      <c r="K67" s="2"/>
      <c r="L67" s="7">
        <f t="shared" si="55"/>
        <v>-267</v>
      </c>
      <c r="M67" s="2"/>
      <c r="N67" s="6">
        <f t="shared" si="56"/>
        <v>-1</v>
      </c>
      <c r="O67" s="11"/>
      <c r="P67" s="7">
        <v>121.28</v>
      </c>
      <c r="Q67" s="2"/>
      <c r="R67" s="6">
        <f t="shared" si="57"/>
        <v>4.8972933247727606E-2</v>
      </c>
      <c r="S67" s="2"/>
      <c r="T67" s="7">
        <v>2136</v>
      </c>
      <c r="U67" s="2"/>
      <c r="V67" s="6">
        <f t="shared" si="58"/>
        <v>2.3970911702652961E-2</v>
      </c>
      <c r="W67" s="2"/>
      <c r="X67" s="7">
        <f t="shared" si="59"/>
        <v>-2014.72</v>
      </c>
      <c r="Y67" s="2"/>
      <c r="Z67" s="6">
        <f t="shared" si="60"/>
        <v>-0.94322097378277159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200</v>
      </c>
      <c r="U68" s="2"/>
      <c r="V68" s="6">
        <f t="shared" si="58"/>
        <v>2.2444673878888538E-3</v>
      </c>
      <c r="W68" s="2"/>
      <c r="X68" s="7">
        <f t="shared" si="59"/>
        <v>-200</v>
      </c>
      <c r="Y68" s="2"/>
      <c r="Z68" s="6">
        <f t="shared" si="60"/>
        <v>-1</v>
      </c>
    </row>
    <row r="69" spans="1:26" s="25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51.5</v>
      </c>
      <c r="E69" s="1"/>
      <c r="F69" s="5">
        <f t="shared" ref="F69:F71" si="61">IF(D$12=0,0,D69/D$12)</f>
        <v>0</v>
      </c>
      <c r="G69" s="1"/>
      <c r="H69" s="1">
        <f>SUM(OSRRefH22_11x_0)</f>
        <v>75</v>
      </c>
      <c r="I69" s="1"/>
      <c r="J69" s="5">
        <f t="shared" ref="J69:J71" si="62">IF(H$12=0,0,H69/H$12)</f>
        <v>3.7522513508104864E-3</v>
      </c>
      <c r="K69" s="1"/>
      <c r="L69" s="1">
        <f t="shared" ref="L69:L71" si="63">+D69-H69</f>
        <v>-23.5</v>
      </c>
      <c r="M69" s="1"/>
      <c r="N69" s="5">
        <f t="shared" ref="N69:N71" si="64">IF(H69=0,0,L69/H69)</f>
        <v>-0.31333333333333335</v>
      </c>
      <c r="O69" s="13"/>
      <c r="P69" s="1">
        <f>SUM(OSRRefP22_11x_0)</f>
        <v>787</v>
      </c>
      <c r="Q69" s="1"/>
      <c r="R69" s="5">
        <f t="shared" ref="R69:R71" si="65">IF(P$12=0,0,P69/P$12)</f>
        <v>0.31779104935654373</v>
      </c>
      <c r="S69" s="1"/>
      <c r="T69" s="1">
        <f>SUM(OSRRefT22_11x_0)</f>
        <v>675</v>
      </c>
      <c r="U69" s="1"/>
      <c r="V69" s="5">
        <f t="shared" ref="V69:V71" si="66">IF(T$12=0,0,T69/T$12)</f>
        <v>7.5750774341248822E-3</v>
      </c>
      <c r="W69" s="1"/>
      <c r="X69" s="1">
        <f t="shared" ref="X69:X71" si="67">+P69-T69</f>
        <v>112</v>
      </c>
      <c r="Y69" s="1"/>
      <c r="Z69" s="5">
        <f t="shared" ref="Z69:Z71" si="68">IF(T69=0,0,X69/T69)</f>
        <v>0.16592592592592592</v>
      </c>
    </row>
    <row r="70" spans="1:26" s="24" customFormat="1" hidden="1" outlineLevel="2" x14ac:dyDescent="0.25">
      <c r="A70" s="26"/>
      <c r="B70" s="11" t="str">
        <f>CONCATENATE("          ", "6303", " - ", "DATA PHONE LINES")</f>
        <v xml:space="preserve">          6303 - DATA PHONE LINES</v>
      </c>
      <c r="C70" s="11"/>
      <c r="D70" s="7"/>
      <c r="E70" s="2"/>
      <c r="F70" s="6">
        <f t="shared" si="61"/>
        <v>0</v>
      </c>
      <c r="G70" s="2"/>
      <c r="H70" s="7">
        <v>75</v>
      </c>
      <c r="I70" s="2"/>
      <c r="J70" s="6">
        <f t="shared" si="62"/>
        <v>3.7522513508104864E-3</v>
      </c>
      <c r="K70" s="2"/>
      <c r="L70" s="7">
        <f t="shared" si="63"/>
        <v>-75</v>
      </c>
      <c r="M70" s="2"/>
      <c r="N70" s="6">
        <f t="shared" si="64"/>
        <v>-1</v>
      </c>
      <c r="O70" s="11"/>
      <c r="P70" s="7"/>
      <c r="Q70" s="2"/>
      <c r="R70" s="6">
        <f t="shared" si="65"/>
        <v>0</v>
      </c>
      <c r="S70" s="2"/>
      <c r="T70" s="7">
        <v>675</v>
      </c>
      <c r="U70" s="2"/>
      <c r="V70" s="6">
        <f t="shared" si="66"/>
        <v>7.5750774341248822E-3</v>
      </c>
      <c r="W70" s="2"/>
      <c r="X70" s="7">
        <f t="shared" si="67"/>
        <v>-675</v>
      </c>
      <c r="Y70" s="2"/>
      <c r="Z70" s="6">
        <f t="shared" si="68"/>
        <v>-1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>
        <v>51.5</v>
      </c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51.5</v>
      </c>
      <c r="M71" s="2"/>
      <c r="N71" s="6">
        <f t="shared" si="64"/>
        <v>0</v>
      </c>
      <c r="O71" s="11"/>
      <c r="P71" s="7">
        <v>787</v>
      </c>
      <c r="Q71" s="2"/>
      <c r="R71" s="6">
        <f t="shared" si="65"/>
        <v>0.31779104935654373</v>
      </c>
      <c r="S71" s="2"/>
      <c r="T71" s="7"/>
      <c r="U71" s="2"/>
      <c r="V71" s="6">
        <f t="shared" si="66"/>
        <v>0</v>
      </c>
      <c r="W71" s="2"/>
      <c r="X71" s="7">
        <f t="shared" si="67"/>
        <v>787</v>
      </c>
      <c r="Y71" s="2"/>
      <c r="Z71" s="6">
        <f t="shared" si="68"/>
        <v>0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ref="F72:F75" si="69">IF(D$12=0,0,D72/D$12)</f>
        <v>0</v>
      </c>
      <c r="G72" s="1"/>
      <c r="H72" s="1">
        <f>SUM(OSRRefH22_12x_0)</f>
        <v>0</v>
      </c>
      <c r="I72" s="1"/>
      <c r="J72" s="5">
        <f t="shared" ref="J72:J75" si="70">IF(H$12=0,0,H72/H$12)</f>
        <v>0</v>
      </c>
      <c r="K72" s="1"/>
      <c r="L72" s="1">
        <f t="shared" ref="L72:L75" si="71">+D72-H72</f>
        <v>0</v>
      </c>
      <c r="M72" s="1"/>
      <c r="N72" s="5">
        <f t="shared" ref="N72:N75" si="72">IF(H72=0,0,L72/H72)</f>
        <v>0</v>
      </c>
      <c r="O72" s="13"/>
      <c r="P72" s="1">
        <f>SUM(OSRRefP22_12x_0)</f>
        <v>0</v>
      </c>
      <c r="Q72" s="1"/>
      <c r="R72" s="5">
        <f t="shared" ref="R72:R75" si="73">IF(P$12=0,0,P72/P$12)</f>
        <v>0</v>
      </c>
      <c r="S72" s="1"/>
      <c r="T72" s="1">
        <f>SUM(OSRRefT22_12x_0)</f>
        <v>120</v>
      </c>
      <c r="U72" s="1"/>
      <c r="V72" s="5">
        <f t="shared" ref="V72:V75" si="74">IF(T$12=0,0,T72/T$12)</f>
        <v>1.3466804327333123E-3</v>
      </c>
      <c r="W72" s="1"/>
      <c r="X72" s="1">
        <f t="shared" ref="X72:X75" si="75">+P72-T72</f>
        <v>-120</v>
      </c>
      <c r="Y72" s="1"/>
      <c r="Z72" s="5">
        <f t="shared" ref="Z72:Z75" si="76">IF(T72=0,0,X72/T72)</f>
        <v>-1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69"/>
        <v>0</v>
      </c>
      <c r="G73" s="2"/>
      <c r="H73" s="7"/>
      <c r="I73" s="2"/>
      <c r="J73" s="6">
        <f t="shared" si="70"/>
        <v>0</v>
      </c>
      <c r="K73" s="2"/>
      <c r="L73" s="7">
        <f t="shared" si="71"/>
        <v>0</v>
      </c>
      <c r="M73" s="2"/>
      <c r="N73" s="6">
        <f t="shared" si="72"/>
        <v>0</v>
      </c>
      <c r="O73" s="11"/>
      <c r="P73" s="7"/>
      <c r="Q73" s="2"/>
      <c r="R73" s="6">
        <f t="shared" si="73"/>
        <v>0</v>
      </c>
      <c r="S73" s="2"/>
      <c r="T73" s="7">
        <v>120</v>
      </c>
      <c r="U73" s="2"/>
      <c r="V73" s="6">
        <f t="shared" si="74"/>
        <v>1.3466804327333123E-3</v>
      </c>
      <c r="W73" s="2"/>
      <c r="X73" s="7">
        <f t="shared" si="75"/>
        <v>-120</v>
      </c>
      <c r="Y73" s="2"/>
      <c r="Z73" s="6">
        <f t="shared" si="76"/>
        <v>-1</v>
      </c>
    </row>
    <row r="74" spans="1:26" s="25" customFormat="1" outlineLevel="1" collapsed="1" x14ac:dyDescent="0.25">
      <c r="A74" s="27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50</v>
      </c>
      <c r="E74" s="1"/>
      <c r="F74" s="5">
        <f t="shared" si="69"/>
        <v>0</v>
      </c>
      <c r="G74" s="1"/>
      <c r="H74" s="1">
        <f>SUM(OSRRefH22_13x_0)</f>
        <v>50</v>
      </c>
      <c r="I74" s="1"/>
      <c r="J74" s="5">
        <f t="shared" si="70"/>
        <v>2.501500900540324E-3</v>
      </c>
      <c r="K74" s="1"/>
      <c r="L74" s="1">
        <f t="shared" si="71"/>
        <v>0</v>
      </c>
      <c r="M74" s="1"/>
      <c r="N74" s="5">
        <f t="shared" si="72"/>
        <v>0</v>
      </c>
      <c r="O74" s="13"/>
      <c r="P74" s="1">
        <f>SUM(OSRRefP22_13x_0)</f>
        <v>450</v>
      </c>
      <c r="Q74" s="1"/>
      <c r="R74" s="5">
        <f t="shared" si="73"/>
        <v>0.18171025693830328</v>
      </c>
      <c r="S74" s="1"/>
      <c r="T74" s="1">
        <f>SUM(OSRRefT22_13x_0)</f>
        <v>450</v>
      </c>
      <c r="U74" s="1"/>
      <c r="V74" s="5">
        <f t="shared" si="74"/>
        <v>5.0500516227499218E-3</v>
      </c>
      <c r="W74" s="1"/>
      <c r="X74" s="1">
        <f t="shared" si="75"/>
        <v>0</v>
      </c>
      <c r="Y74" s="1"/>
      <c r="Z74" s="5">
        <f t="shared" si="76"/>
        <v>0</v>
      </c>
    </row>
    <row r="75" spans="1:26" s="24" customFormat="1" hidden="1" outlineLevel="2" x14ac:dyDescent="0.25">
      <c r="A75" s="26"/>
      <c r="B75" s="11" t="str">
        <f>CONCATENATE("          ", "6274", " - ", "UTILITIES")</f>
        <v xml:space="preserve">          6274 - UTILITIES</v>
      </c>
      <c r="C75" s="11"/>
      <c r="D75" s="7">
        <v>50</v>
      </c>
      <c r="E75" s="2"/>
      <c r="F75" s="6">
        <f t="shared" si="69"/>
        <v>0</v>
      </c>
      <c r="G75" s="2"/>
      <c r="H75" s="7">
        <v>50</v>
      </c>
      <c r="I75" s="2"/>
      <c r="J75" s="6">
        <f t="shared" si="70"/>
        <v>2.501500900540324E-3</v>
      </c>
      <c r="K75" s="2"/>
      <c r="L75" s="7">
        <f t="shared" si="71"/>
        <v>0</v>
      </c>
      <c r="M75" s="2"/>
      <c r="N75" s="6">
        <f t="shared" si="72"/>
        <v>0</v>
      </c>
      <c r="O75" s="11"/>
      <c r="P75" s="7">
        <v>450</v>
      </c>
      <c r="Q75" s="2"/>
      <c r="R75" s="6">
        <f t="shared" si="73"/>
        <v>0.18171025693830328</v>
      </c>
      <c r="S75" s="2"/>
      <c r="T75" s="7">
        <v>450</v>
      </c>
      <c r="U75" s="2"/>
      <c r="V75" s="6">
        <f t="shared" si="74"/>
        <v>5.0500516227499218E-3</v>
      </c>
      <c r="W75" s="2"/>
      <c r="X75" s="7">
        <f t="shared" si="75"/>
        <v>0</v>
      </c>
      <c r="Y75" s="2"/>
      <c r="Z75" s="6">
        <f t="shared" si="76"/>
        <v>0</v>
      </c>
    </row>
    <row r="76" spans="1:26" s="59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277</v>
      </c>
      <c r="C79" s="29"/>
      <c r="D79" s="20">
        <f>+D22-D24+D77</f>
        <v>-2096.42</v>
      </c>
      <c r="E79" s="14"/>
      <c r="F79" s="21">
        <f>IF(D$12=0,0,D79/D$12)</f>
        <v>0</v>
      </c>
      <c r="G79" s="14"/>
      <c r="H79" s="20">
        <f>+H22-H24+H77</f>
        <v>-1930.2648914999991</v>
      </c>
      <c r="I79" s="14"/>
      <c r="J79" s="21">
        <f>IF(H$12=0,0,H79/H$12)</f>
        <v>-9.6571187287372379E-2</v>
      </c>
      <c r="K79" s="16"/>
      <c r="L79" s="20">
        <f>+D79-H79</f>
        <v>-166.15510850000101</v>
      </c>
      <c r="M79" s="16"/>
      <c r="N79" s="21">
        <f>IF(H79=0,0,L79/H79)</f>
        <v>8.6078915506193926E-2</v>
      </c>
      <c r="O79" s="28"/>
      <c r="P79" s="20">
        <f>+P22-P24+P77</f>
        <v>-56759.119999999981</v>
      </c>
      <c r="Q79" s="14"/>
      <c r="R79" s="21">
        <f>IF(P$12=0,0,P79/P$12)</f>
        <v>-22.919365063982191</v>
      </c>
      <c r="S79" s="14"/>
      <c r="T79" s="20">
        <f>+T22-T24+T77</f>
        <v>-36371.792004799994</v>
      </c>
      <c r="U79" s="14"/>
      <c r="V79" s="21">
        <f>IF(T$12=0,0,T79/T$12)</f>
        <v>-0.40817650496925073</v>
      </c>
      <c r="W79" s="16"/>
      <c r="X79" s="20">
        <f>+P79-T79</f>
        <v>-20387.327995199987</v>
      </c>
      <c r="Y79" s="16"/>
      <c r="Z79" s="21">
        <f>IF(T79=0,0,X79/T79)</f>
        <v>0.56052580506645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19.95</v>
      </c>
      <c r="E81" s="4"/>
      <c r="F81" s="12">
        <f>IF(D$12=0,0,D81/D$12)</f>
        <v>0</v>
      </c>
      <c r="G81" s="4"/>
      <c r="H81" s="4">
        <v>3871</v>
      </c>
      <c r="I81" s="4"/>
      <c r="J81" s="12">
        <f>IF(H$12=0,0,H81/H$12)</f>
        <v>0.1936661997198319</v>
      </c>
      <c r="K81" s="4"/>
      <c r="L81" s="4">
        <f>+D81-H81</f>
        <v>-3851.05</v>
      </c>
      <c r="M81" s="4"/>
      <c r="N81" s="12">
        <f>IF(H81=0,0,L81/H81)</f>
        <v>-0.99484629294755877</v>
      </c>
      <c r="O81" s="10"/>
      <c r="P81" s="4">
        <v>510.38</v>
      </c>
      <c r="Q81" s="4"/>
      <c r="R81" s="12">
        <f>IF(P$12=0,0,P81/P$12)</f>
        <v>0.20609173541371384</v>
      </c>
      <c r="S81" s="4"/>
      <c r="T81" s="4">
        <v>15758</v>
      </c>
      <c r="U81" s="4"/>
      <c r="V81" s="12">
        <f>IF(T$12=0,0,T81/T$12)</f>
        <v>0.17684158549176279</v>
      </c>
      <c r="W81" s="4"/>
      <c r="X81" s="4">
        <f>+P81-T81</f>
        <v>-15247.62</v>
      </c>
      <c r="Y81" s="4"/>
      <c r="Z81" s="12">
        <f>IF(T81=0,0,X81/T81)</f>
        <v>-0.96761137200152314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126</v>
      </c>
      <c r="C83" s="29"/>
      <c r="D83" s="34">
        <f>+D79-D81</f>
        <v>-2116.37</v>
      </c>
      <c r="E83" s="14"/>
      <c r="F83" s="30">
        <f>IF(D$12=0,0,D83/D$12)</f>
        <v>0</v>
      </c>
      <c r="G83" s="14"/>
      <c r="H83" s="34">
        <f>+H79-H81</f>
        <v>-5801.2648914999991</v>
      </c>
      <c r="I83" s="14"/>
      <c r="J83" s="30">
        <f>IF(H$12=0,0,H83/H$12)</f>
        <v>-0.29023738700720425</v>
      </c>
      <c r="K83" s="16"/>
      <c r="L83" s="34">
        <f>D83-H83</f>
        <v>3684.8948914999992</v>
      </c>
      <c r="M83" s="16"/>
      <c r="N83" s="30">
        <f>IF(H83=0,0,L83/H83)</f>
        <v>-0.63518818058094528</v>
      </c>
      <c r="O83" s="28"/>
      <c r="P83" s="34">
        <f>+P79-P81</f>
        <v>-57269.499999999978</v>
      </c>
      <c r="Q83" s="14"/>
      <c r="R83" s="30">
        <f>IF(P$12=0,0,P83/P$12)</f>
        <v>-23.125456799395902</v>
      </c>
      <c r="S83" s="14"/>
      <c r="T83" s="34">
        <f>+T79-T81</f>
        <v>-52129.792004799994</v>
      </c>
      <c r="U83" s="14"/>
      <c r="V83" s="30">
        <f>IF(T$12=0,0,T83/T$12)</f>
        <v>-0.5850180904610135</v>
      </c>
      <c r="W83" s="16"/>
      <c r="X83" s="34">
        <f>P83-T83</f>
        <v>-5139.707995199984</v>
      </c>
      <c r="Y83" s="16"/>
      <c r="Z83" s="30">
        <f>IF(T83=0,0,X83/T83)</f>
        <v>9.8594446621362519E-2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294</v>
      </c>
      <c r="C86" s="29"/>
      <c r="D86" s="31">
        <f>SUM(D83:D85)</f>
        <v>-2116.37</v>
      </c>
      <c r="E86" s="14"/>
      <c r="F86" s="35">
        <f>IF(D$12=0,0,D86/D$12)</f>
        <v>0</v>
      </c>
      <c r="G86" s="14"/>
      <c r="H86" s="31">
        <f>SUM(H83:H85)</f>
        <v>-5801.2648914999991</v>
      </c>
      <c r="I86" s="14"/>
      <c r="J86" s="35">
        <f>IF(H$12=0,0,H86/H$12)</f>
        <v>-0.29023738700720425</v>
      </c>
      <c r="K86" s="16"/>
      <c r="L86" s="31">
        <f>+D86-H86</f>
        <v>3684.8948914999992</v>
      </c>
      <c r="M86" s="16"/>
      <c r="N86" s="35">
        <f>IF(H86=0,0,L86/H86)</f>
        <v>-0.63518818058094528</v>
      </c>
      <c r="O86" s="28"/>
      <c r="P86" s="31">
        <f>SUM(P83:P85)</f>
        <v>-57269.499999999978</v>
      </c>
      <c r="Q86" s="14"/>
      <c r="R86" s="35">
        <f>IF(P$12=0,0,P86/P$12)</f>
        <v>-23.125456799395902</v>
      </c>
      <c r="S86" s="14"/>
      <c r="T86" s="31">
        <f>SUM(T83:T85)</f>
        <v>-52129.792004799994</v>
      </c>
      <c r="U86" s="14"/>
      <c r="V86" s="35">
        <f>IF(T$12=0,0,T86/T$12)</f>
        <v>-0.5850180904610135</v>
      </c>
      <c r="W86" s="16"/>
      <c r="X86" s="31">
        <f>+P86-T86</f>
        <v>-5139.707995199984</v>
      </c>
      <c r="Y86" s="16"/>
      <c r="Z86" s="35">
        <f>IF(T86=0,0,X86/T86)</f>
        <v>9.8594446621362519E-2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>
        <v>44295.961797766206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3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4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>
        <v>-1222.33</v>
      </c>
      <c r="Q17" s="2"/>
      <c r="R17" s="19">
        <f t="shared" si="8"/>
        <v>0</v>
      </c>
      <c r="S17" s="2"/>
      <c r="T17" s="2"/>
      <c r="U17" s="2"/>
      <c r="V17" s="19">
        <f t="shared" si="9"/>
        <v>0</v>
      </c>
      <c r="W17" s="2"/>
      <c r="X17" s="2">
        <f t="shared" si="10"/>
        <v>-1222.33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108</v>
      </c>
      <c r="C19" s="29"/>
      <c r="D19" s="20">
        <f>D12-D15</f>
        <v>0</v>
      </c>
      <c r="E19" s="14"/>
      <c r="F19" s="21">
        <f>IF(D$12=0,0,D19/D$12)</f>
        <v>0</v>
      </c>
      <c r="G19" s="14"/>
      <c r="H19" s="20">
        <f>H12-H15</f>
        <v>0</v>
      </c>
      <c r="I19" s="14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8"/>
      <c r="P19" s="20">
        <f>P12-P15</f>
        <v>1222.33</v>
      </c>
      <c r="Q19" s="14"/>
      <c r="R19" s="21">
        <f>IF(P$12=0,0,P19/P$12)</f>
        <v>0</v>
      </c>
      <c r="S19" s="14"/>
      <c r="T19" s="20">
        <f>T12-T15</f>
        <v>0</v>
      </c>
      <c r="U19" s="14"/>
      <c r="V19" s="21">
        <f>IF(T$12=0,0,T19/T$12)</f>
        <v>0</v>
      </c>
      <c r="W19" s="16"/>
      <c r="X19" s="20">
        <f>+P19-T19</f>
        <v>1222.33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295</v>
      </c>
      <c r="C21" s="10"/>
      <c r="D21" s="22">
        <f>SUM(OSRRefD22x_0)</f>
        <v>1796.69</v>
      </c>
      <c r="E21" s="22"/>
      <c r="F21" s="32">
        <f t="shared" ref="F21:F30" si="12">IF(D$12=0,0,D21/D$12)</f>
        <v>0</v>
      </c>
      <c r="G21" s="22"/>
      <c r="H21" s="22">
        <f>SUM(OSRRefH22x_0)</f>
        <v>2017</v>
      </c>
      <c r="I21" s="22"/>
      <c r="J21" s="32">
        <f t="shared" ref="J21:J30" si="13">IF(H$12=0,0,H21/H$12)</f>
        <v>0</v>
      </c>
      <c r="K21" s="4"/>
      <c r="L21" s="22">
        <f t="shared" ref="L21:L30" si="14">+D21-H21</f>
        <v>-220.30999999999995</v>
      </c>
      <c r="M21" s="4"/>
      <c r="N21" s="32">
        <f t="shared" ref="N21:N30" si="15">IF(H21=0,0,L21/H21)</f>
        <v>-0.10922657411998014</v>
      </c>
      <c r="O21" s="10"/>
      <c r="P21" s="22">
        <f>SUM(OSRRefP22x_0)</f>
        <v>22037.660000000003</v>
      </c>
      <c r="Q21" s="22"/>
      <c r="R21" s="32">
        <f t="shared" ref="R21:R30" si="16">IF(P$12=0,0,P21/P$12)</f>
        <v>0</v>
      </c>
      <c r="S21" s="22"/>
      <c r="T21" s="22">
        <f>SUM(OSRRefT22x_0)</f>
        <v>18153</v>
      </c>
      <c r="U21" s="22"/>
      <c r="V21" s="32">
        <f t="shared" ref="V21:V30" si="17">IF(T$12=0,0,T21/T$12)</f>
        <v>0</v>
      </c>
      <c r="W21" s="4"/>
      <c r="X21" s="22">
        <f t="shared" ref="X21:X30" si="18">+P21-T21</f>
        <v>3884.6600000000035</v>
      </c>
      <c r="Y21" s="4"/>
      <c r="Z21" s="32">
        <f t="shared" ref="Z21:Z30" si="19">IF(T21=0,0,X21/T21)</f>
        <v>0.21399548284030206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3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3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5" customFormat="1" outlineLevel="1" collapsed="1" x14ac:dyDescent="0.25">
      <c r="A46" s="27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3"/>
      <c r="P46" s="1">
        <f>SUM(OSRRefP22_4x_0)</f>
        <v>18156.060000000001</v>
      </c>
      <c r="Q46" s="1"/>
      <c r="R46" s="5">
        <f t="shared" si="32"/>
        <v>0</v>
      </c>
      <c r="S46" s="1"/>
      <c r="T46" s="1">
        <f>SUM(OSRRefT22_4x_0)</f>
        <v>18153</v>
      </c>
      <c r="U46" s="1"/>
      <c r="V46" s="5">
        <f t="shared" si="33"/>
        <v>0</v>
      </c>
      <c r="W46" s="1"/>
      <c r="X46" s="1">
        <f t="shared" si="34"/>
        <v>3.0600000000013097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18156.060000000001</v>
      </c>
      <c r="Q47" s="2"/>
      <c r="R47" s="6">
        <f t="shared" si="32"/>
        <v>0</v>
      </c>
      <c r="S47" s="2"/>
      <c r="T47" s="7">
        <v>18153</v>
      </c>
      <c r="U47" s="2"/>
      <c r="V47" s="6">
        <f t="shared" si="33"/>
        <v>0</v>
      </c>
      <c r="W47" s="2"/>
      <c r="X47" s="7">
        <f t="shared" si="34"/>
        <v>3.0600000000013097</v>
      </c>
      <c r="Y47" s="2"/>
      <c r="Z47" s="6">
        <f t="shared" si="35"/>
        <v>1.6856717897875337E-4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5" customFormat="1" outlineLevel="1" collapsed="1" x14ac:dyDescent="0.25">
      <c r="A50" s="27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72.349999999999994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72.349999999999994</v>
      </c>
      <c r="M52" s="1"/>
      <c r="N52" s="5">
        <f t="shared" si="31"/>
        <v>0</v>
      </c>
      <c r="O52" s="13"/>
      <c r="P52" s="1">
        <f>SUM(OSRRefP22_7x_0)</f>
        <v>295.64999999999998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295.64999999999998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7">
        <v>72.349999999999994</v>
      </c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72.349999999999994</v>
      </c>
      <c r="M53" s="2"/>
      <c r="N53" s="6">
        <f t="shared" si="31"/>
        <v>0</v>
      </c>
      <c r="O53" s="11"/>
      <c r="P53" s="7">
        <v>295.64999999999998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295.64999999999998</v>
      </c>
      <c r="Y53" s="2"/>
      <c r="Z53" s="6">
        <f t="shared" si="35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3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3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6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3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5" customFormat="1" outlineLevel="1" collapsed="1" x14ac:dyDescent="0.25">
      <c r="A65" s="27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SUM(OSRRefD22_11x_0)</f>
        <v>-293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-293</v>
      </c>
      <c r="M65" s="1"/>
      <c r="N65" s="5">
        <f t="shared" si="55"/>
        <v>0</v>
      </c>
      <c r="O65" s="13"/>
      <c r="P65" s="1">
        <f>SUM(OSRRefP22_11x_0)</f>
        <v>747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747</v>
      </c>
      <c r="Y65" s="1"/>
      <c r="Z65" s="5">
        <f t="shared" si="59"/>
        <v>0</v>
      </c>
    </row>
    <row r="66" spans="1:26" s="24" customFormat="1" hidden="1" outlineLevel="2" x14ac:dyDescent="0.25">
      <c r="A66" s="26"/>
      <c r="B66" s="11" t="str">
        <f>CONCATENATE("          ", "6274", " - ", "UTILITIES")</f>
        <v xml:space="preserve">          6274 - UTILITIES</v>
      </c>
      <c r="C66" s="11"/>
      <c r="D66" s="7">
        <v>-293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-293</v>
      </c>
      <c r="M66" s="2"/>
      <c r="N66" s="6">
        <f t="shared" si="55"/>
        <v>0</v>
      </c>
      <c r="O66" s="11"/>
      <c r="P66" s="7">
        <v>747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747</v>
      </c>
      <c r="Y66" s="2"/>
      <c r="Z66" s="6">
        <f t="shared" si="59"/>
        <v>0</v>
      </c>
    </row>
    <row r="67" spans="1:26" s="59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8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277</v>
      </c>
      <c r="C70" s="29"/>
      <c r="D70" s="20">
        <f>+D19-D21+D68</f>
        <v>-1796.69</v>
      </c>
      <c r="E70" s="14"/>
      <c r="F70" s="21">
        <f>IF(D$12=0,0,D70/D$12)</f>
        <v>0</v>
      </c>
      <c r="G70" s="14"/>
      <c r="H70" s="20">
        <f>+H19-H21+H68</f>
        <v>-2017</v>
      </c>
      <c r="I70" s="14"/>
      <c r="J70" s="21">
        <f>IF(H$12=0,0,H70/H$12)</f>
        <v>0</v>
      </c>
      <c r="K70" s="16"/>
      <c r="L70" s="20">
        <f>+D70-H70</f>
        <v>220.30999999999995</v>
      </c>
      <c r="M70" s="16"/>
      <c r="N70" s="21">
        <f>IF(H70=0,0,L70/H70)</f>
        <v>-0.10922657411998014</v>
      </c>
      <c r="O70" s="28"/>
      <c r="P70" s="20">
        <f>+P19-P21+P68</f>
        <v>-20815.330000000002</v>
      </c>
      <c r="Q70" s="14"/>
      <c r="R70" s="21">
        <f>IF(P$12=0,0,P70/P$12)</f>
        <v>0</v>
      </c>
      <c r="S70" s="14"/>
      <c r="T70" s="20">
        <f>+T19-T21+T68</f>
        <v>-18153</v>
      </c>
      <c r="U70" s="14"/>
      <c r="V70" s="21">
        <f>IF(T$12=0,0,T70/T$12)</f>
        <v>0</v>
      </c>
      <c r="W70" s="16"/>
      <c r="X70" s="20">
        <f>+P70-T70</f>
        <v>-2662.3300000000017</v>
      </c>
      <c r="Y70" s="16"/>
      <c r="Z70" s="21">
        <f>IF(T70=0,0,X70/T70)</f>
        <v>0.14666060706219367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126</v>
      </c>
      <c r="C74" s="29"/>
      <c r="D74" s="34">
        <f>+D70-D72</f>
        <v>-1796.69</v>
      </c>
      <c r="E74" s="14"/>
      <c r="F74" s="30">
        <f>IF(D$12=0,0,D74/D$12)</f>
        <v>0</v>
      </c>
      <c r="G74" s="14"/>
      <c r="H74" s="34">
        <f>+H70-H72</f>
        <v>-2017</v>
      </c>
      <c r="I74" s="14"/>
      <c r="J74" s="30">
        <f>IF(H$12=0,0,H74/H$12)</f>
        <v>0</v>
      </c>
      <c r="K74" s="16"/>
      <c r="L74" s="34">
        <f>D74-H74</f>
        <v>220.30999999999995</v>
      </c>
      <c r="M74" s="16"/>
      <c r="N74" s="30">
        <f>IF(H74=0,0,L74/H74)</f>
        <v>-0.10922657411998014</v>
      </c>
      <c r="O74" s="28"/>
      <c r="P74" s="34">
        <f>+P70-P72</f>
        <v>-20815.330000000002</v>
      </c>
      <c r="Q74" s="14"/>
      <c r="R74" s="30">
        <f>IF(P$12=0,0,P74/P$12)</f>
        <v>0</v>
      </c>
      <c r="S74" s="14"/>
      <c r="T74" s="34">
        <f>+T70-T72</f>
        <v>-18153</v>
      </c>
      <c r="U74" s="14"/>
      <c r="V74" s="30">
        <f>IF(T$12=0,0,T74/T$12)</f>
        <v>0</v>
      </c>
      <c r="W74" s="16"/>
      <c r="X74" s="34">
        <f>P74-T74</f>
        <v>-2662.3300000000017</v>
      </c>
      <c r="Y74" s="16"/>
      <c r="Z74" s="30">
        <f>IF(T74=0,0,X74/T74)</f>
        <v>0.14666060706219367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294</v>
      </c>
      <c r="C77" s="29"/>
      <c r="D77" s="31">
        <f>SUM(D74:D76)</f>
        <v>-1796.69</v>
      </c>
      <c r="E77" s="14"/>
      <c r="F77" s="35">
        <f>IF(D$12=0,0,D77/D$12)</f>
        <v>0</v>
      </c>
      <c r="G77" s="14"/>
      <c r="H77" s="31">
        <f>SUM(H74:H76)</f>
        <v>-2017</v>
      </c>
      <c r="I77" s="14"/>
      <c r="J77" s="35">
        <f>IF(H$12=0,0,H77/H$12)</f>
        <v>0</v>
      </c>
      <c r="K77" s="16"/>
      <c r="L77" s="31">
        <f>+D77-H77</f>
        <v>220.30999999999995</v>
      </c>
      <c r="M77" s="16"/>
      <c r="N77" s="35">
        <f>IF(H77=0,0,L77/H77)</f>
        <v>-0.10922657411998014</v>
      </c>
      <c r="O77" s="28"/>
      <c r="P77" s="31">
        <f>SUM(P74:P76)</f>
        <v>-20815.330000000002</v>
      </c>
      <c r="Q77" s="14"/>
      <c r="R77" s="35">
        <f>IF(P$12=0,0,P77/P$12)</f>
        <v>0</v>
      </c>
      <c r="S77" s="14"/>
      <c r="T77" s="31">
        <f>SUM(T74:T76)</f>
        <v>-18153</v>
      </c>
      <c r="U77" s="14"/>
      <c r="V77" s="35">
        <f>IF(T$12=0,0,T77/T$12)</f>
        <v>0</v>
      </c>
      <c r="W77" s="16"/>
      <c r="X77" s="31">
        <f>+P77-T77</f>
        <v>-2662.3300000000017</v>
      </c>
      <c r="Y77" s="16"/>
      <c r="Z77" s="35">
        <f>IF(T77=0,0,X77/T77)</f>
        <v>0.14666060706219367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44295.961797766206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3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46911</v>
      </c>
      <c r="I12" s="4"/>
      <c r="J12" s="12"/>
      <c r="K12" s="4"/>
      <c r="L12" s="4">
        <f t="shared" ref="L12:L14" si="0">+D12-H12</f>
        <v>-46911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211977</v>
      </c>
      <c r="U12" s="4"/>
      <c r="V12" s="12"/>
      <c r="W12" s="4"/>
      <c r="X12" s="4">
        <f t="shared" ref="X12:X14" si="2">+P12-T12</f>
        <v>-211977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8315</v>
      </c>
      <c r="I13" s="2"/>
      <c r="J13" s="19"/>
      <c r="K13" s="2"/>
      <c r="L13" s="2">
        <f t="shared" si="0"/>
        <v>-8315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38017</v>
      </c>
      <c r="U13" s="2"/>
      <c r="V13" s="19"/>
      <c r="W13" s="2"/>
      <c r="X13" s="2">
        <f t="shared" si="2"/>
        <v>-38017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38596</v>
      </c>
      <c r="I14" s="2"/>
      <c r="J14" s="19"/>
      <c r="K14" s="2"/>
      <c r="L14" s="2">
        <f t="shared" si="0"/>
        <v>-38596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173960</v>
      </c>
      <c r="U14" s="2"/>
      <c r="V14" s="19"/>
      <c r="W14" s="2"/>
      <c r="X14" s="2">
        <f t="shared" si="2"/>
        <v>-173960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176.4</v>
      </c>
      <c r="E16" s="4"/>
      <c r="F16" s="12">
        <f t="shared" ref="F16:F19" si="6">IF(D$12=0,0,D16/D$12)</f>
        <v>0</v>
      </c>
      <c r="G16" s="4"/>
      <c r="H16" s="4">
        <f>SUM(OSRRefH16x_0)</f>
        <v>22517</v>
      </c>
      <c r="I16" s="4"/>
      <c r="J16" s="12">
        <f t="shared" ref="J16:J19" si="7">IF(H$12=0,0,H16/H$12)</f>
        <v>0.47999403125066614</v>
      </c>
      <c r="K16" s="4"/>
      <c r="L16" s="4">
        <f t="shared" ref="L16:L19" si="8">+D16-H16</f>
        <v>-22340.6</v>
      </c>
      <c r="M16" s="4"/>
      <c r="N16" s="12">
        <f t="shared" ref="N16:N19" si="9">IF(H16=0,0,L16/H16)</f>
        <v>-0.99216591908335916</v>
      </c>
      <c r="O16" s="10"/>
      <c r="P16" s="4">
        <f>SUM(OSRRefP16x_0)</f>
        <v>10817.64</v>
      </c>
      <c r="Q16" s="4"/>
      <c r="R16" s="12">
        <f t="shared" ref="R16:R19" si="10">IF(P$12=0,0,P16/P$12)</f>
        <v>0</v>
      </c>
      <c r="S16" s="4"/>
      <c r="T16" s="4">
        <f>SUM(OSRRefT16x_0)</f>
        <v>90797</v>
      </c>
      <c r="U16" s="4"/>
      <c r="V16" s="12">
        <f t="shared" ref="V16:V19" si="11">IF(T$12=0,0,T16/T$12)</f>
        <v>0.42833420606952644</v>
      </c>
      <c r="W16" s="4"/>
      <c r="X16" s="4">
        <f t="shared" ref="X16:X19" si="12">+P16-T16</f>
        <v>-79979.360000000001</v>
      </c>
      <c r="Y16" s="4"/>
      <c r="Z16" s="12">
        <f t="shared" ref="Z16:Z19" si="13">IF(T16=0,0,X16/T16)</f>
        <v>-0.88085905922001828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22517</v>
      </c>
      <c r="I17" s="2"/>
      <c r="J17" s="19">
        <f t="shared" si="7"/>
        <v>0.47999403125066614</v>
      </c>
      <c r="K17" s="2"/>
      <c r="L17" s="2">
        <f t="shared" si="8"/>
        <v>-22517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90797</v>
      </c>
      <c r="U17" s="2"/>
      <c r="V17" s="19">
        <f t="shared" si="11"/>
        <v>0.42833420606952644</v>
      </c>
      <c r="W17" s="2"/>
      <c r="X17" s="2">
        <f t="shared" si="12"/>
        <v>-90797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176.4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176.4</v>
      </c>
      <c r="M18" s="2"/>
      <c r="N18" s="19">
        <f t="shared" si="9"/>
        <v>0</v>
      </c>
      <c r="O18" s="11"/>
      <c r="P18" s="2">
        <v>-811.36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-811.36</v>
      </c>
      <c r="Y18" s="2"/>
      <c r="Z18" s="19">
        <f t="shared" si="13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>
        <v>11629</v>
      </c>
      <c r="Q19" s="2"/>
      <c r="R19" s="19">
        <f t="shared" si="10"/>
        <v>0</v>
      </c>
      <c r="S19" s="2"/>
      <c r="T19" s="2"/>
      <c r="U19" s="2"/>
      <c r="V19" s="19">
        <f t="shared" si="11"/>
        <v>0</v>
      </c>
      <c r="W19" s="2"/>
      <c r="X19" s="2">
        <f t="shared" si="12"/>
        <v>11629</v>
      </c>
      <c r="Y19" s="2"/>
      <c r="Z19" s="19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108</v>
      </c>
      <c r="C21" s="29"/>
      <c r="D21" s="20">
        <f>D12-D16</f>
        <v>-176.4</v>
      </c>
      <c r="E21" s="14"/>
      <c r="F21" s="21">
        <f>IF(D$12=0,0,D21/D$12)</f>
        <v>0</v>
      </c>
      <c r="G21" s="14"/>
      <c r="H21" s="20">
        <f>H12-H16</f>
        <v>24394</v>
      </c>
      <c r="I21" s="14"/>
      <c r="J21" s="21">
        <f>IF(H$12=0,0,H21/H$12)</f>
        <v>0.5200059687493338</v>
      </c>
      <c r="K21" s="16"/>
      <c r="L21" s="20">
        <f>+D21-H21</f>
        <v>-24570.400000000001</v>
      </c>
      <c r="M21" s="16"/>
      <c r="N21" s="21">
        <f>IF(H21=0,0,L21/H21)</f>
        <v>-1.0072312863818973</v>
      </c>
      <c r="O21" s="28"/>
      <c r="P21" s="20">
        <f>P12-P16</f>
        <v>-10817.64</v>
      </c>
      <c r="Q21" s="14"/>
      <c r="R21" s="21">
        <f>IF(P$12=0,0,P21/P$12)</f>
        <v>0</v>
      </c>
      <c r="S21" s="14"/>
      <c r="T21" s="20">
        <f>T12-T16</f>
        <v>121180</v>
      </c>
      <c r="U21" s="14"/>
      <c r="V21" s="21">
        <f>IF(T$12=0,0,T21/T$12)</f>
        <v>0.57166579393047356</v>
      </c>
      <c r="W21" s="16"/>
      <c r="X21" s="20">
        <f>+P21-T21</f>
        <v>-131997.64000000001</v>
      </c>
      <c r="Y21" s="16"/>
      <c r="Z21" s="21">
        <f>IF(T21=0,0,X21/T21)</f>
        <v>-1.0892691863343786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295</v>
      </c>
      <c r="C23" s="10"/>
      <c r="D23" s="22">
        <f>SUM(OSRRefD22x_0)</f>
        <v>8951.6200000000008</v>
      </c>
      <c r="E23" s="22"/>
      <c r="F23" s="32">
        <f t="shared" ref="F23:F32" si="14">IF(D$12=0,0,D23/D$12)</f>
        <v>0</v>
      </c>
      <c r="G23" s="22"/>
      <c r="H23" s="22">
        <f>SUM(OSRRefH22x_0)</f>
        <v>28941.084783999999</v>
      </c>
      <c r="I23" s="22"/>
      <c r="J23" s="32">
        <f t="shared" ref="J23:J32" si="15">IF(H$12=0,0,H23/H$12)</f>
        <v>0.61693600187589259</v>
      </c>
      <c r="K23" s="4"/>
      <c r="L23" s="22">
        <f t="shared" ref="L23:L32" si="16">+D23-H23</f>
        <v>-19989.464783999996</v>
      </c>
      <c r="M23" s="4"/>
      <c r="N23" s="32">
        <f t="shared" ref="N23:N32" si="17">IF(H23=0,0,L23/H23)</f>
        <v>-0.69069507702251431</v>
      </c>
      <c r="O23" s="10"/>
      <c r="P23" s="22">
        <f>SUM(OSRRefP22x_0)</f>
        <v>100467.34000000001</v>
      </c>
      <c r="Q23" s="22"/>
      <c r="R23" s="32">
        <f t="shared" ref="R23:R32" si="18">IF(P$12=0,0,P23/P$12)</f>
        <v>0</v>
      </c>
      <c r="S23" s="22"/>
      <c r="T23" s="22">
        <f>SUM(OSRRefT22x_0)</f>
        <v>251699.19296800002</v>
      </c>
      <c r="U23" s="22"/>
      <c r="V23" s="32">
        <f t="shared" ref="V23:V32" si="19">IF(T$12=0,0,T23/T$12)</f>
        <v>1.187389164711266</v>
      </c>
      <c r="W23" s="4"/>
      <c r="X23" s="22">
        <f t="shared" ref="X23:X32" si="20">+P23-T23</f>
        <v>-151231.85296799999</v>
      </c>
      <c r="Y23" s="4"/>
      <c r="Z23" s="32">
        <f t="shared" ref="Z23:Z32" si="21">IF(T23=0,0,X23/T23)</f>
        <v>-0.60084361489083904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3622.5807839999998</v>
      </c>
      <c r="I24" s="1"/>
      <c r="J24" s="5">
        <f t="shared" si="15"/>
        <v>7.7222416576069569E-2</v>
      </c>
      <c r="K24" s="1"/>
      <c r="L24" s="1">
        <f t="shared" si="16"/>
        <v>-3622.5807839999998</v>
      </c>
      <c r="M24" s="1"/>
      <c r="N24" s="5">
        <f t="shared" si="17"/>
        <v>-1</v>
      </c>
      <c r="O24" s="13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31709.440967999999</v>
      </c>
      <c r="U24" s="1"/>
      <c r="V24" s="5">
        <f t="shared" si="19"/>
        <v>0.14958906375691702</v>
      </c>
      <c r="W24" s="1"/>
      <c r="X24" s="1">
        <f t="shared" si="20"/>
        <v>-28819.720967999998</v>
      </c>
      <c r="Y24" s="1"/>
      <c r="Z24" s="5">
        <f t="shared" si="21"/>
        <v>-0.90886878129084014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343.83398399999999</v>
      </c>
      <c r="I25" s="2"/>
      <c r="J25" s="6">
        <f t="shared" si="15"/>
        <v>7.3294959391187568E-3</v>
      </c>
      <c r="K25" s="2"/>
      <c r="L25" s="7">
        <f t="shared" si="16"/>
        <v>-343.83398399999999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3246.525048</v>
      </c>
      <c r="U25" s="2"/>
      <c r="V25" s="6">
        <f t="shared" si="19"/>
        <v>1.5315458979040179E-2</v>
      </c>
      <c r="W25" s="2"/>
      <c r="X25" s="7">
        <f t="shared" si="20"/>
        <v>-3087.4050480000001</v>
      </c>
      <c r="Y25" s="2"/>
      <c r="Z25" s="6">
        <f t="shared" si="21"/>
        <v>-0.95098759515253861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216.45</v>
      </c>
      <c r="I26" s="2"/>
      <c r="J26" s="6">
        <f t="shared" si="15"/>
        <v>4.6140564046812044E-3</v>
      </c>
      <c r="K26" s="2"/>
      <c r="L26" s="7">
        <f t="shared" si="16"/>
        <v>-216.45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1501.2972</v>
      </c>
      <c r="U26" s="2"/>
      <c r="V26" s="6">
        <f t="shared" si="19"/>
        <v>7.0823589351674942E-3</v>
      </c>
      <c r="W26" s="2"/>
      <c r="X26" s="7">
        <f t="shared" si="20"/>
        <v>-1501.2972</v>
      </c>
      <c r="Y26" s="2"/>
      <c r="Z26" s="6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4.2207584575046364E-2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17820</v>
      </c>
      <c r="U27" s="2"/>
      <c r="V27" s="6">
        <f t="shared" si="19"/>
        <v>8.4065724111578144E-2</v>
      </c>
      <c r="W27" s="2"/>
      <c r="X27" s="7">
        <f t="shared" si="20"/>
        <v>-15904.369999999999</v>
      </c>
      <c r="Y27" s="2"/>
      <c r="Z27" s="6">
        <f t="shared" si="21"/>
        <v>-0.89250112233445567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30.42</v>
      </c>
      <c r="I28" s="2"/>
      <c r="J28" s="6">
        <f t="shared" si="15"/>
        <v>6.4846198119843969E-4</v>
      </c>
      <c r="K28" s="2"/>
      <c r="L28" s="7">
        <f t="shared" si="16"/>
        <v>-30.42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210.99312</v>
      </c>
      <c r="U28" s="2"/>
      <c r="V28" s="6">
        <f t="shared" si="19"/>
        <v>9.9535855305056672E-4</v>
      </c>
      <c r="W28" s="2"/>
      <c r="X28" s="7">
        <f t="shared" si="20"/>
        <v>-210.99312</v>
      </c>
      <c r="Y28" s="2"/>
      <c r="Z28" s="6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386.38080000000002</v>
      </c>
      <c r="I29" s="2"/>
      <c r="J29" s="6">
        <f t="shared" si="15"/>
        <v>8.2364647950374115E-3</v>
      </c>
      <c r="K29" s="2"/>
      <c r="L29" s="7">
        <f t="shared" si="16"/>
        <v>-386.38080000000002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3581.1776</v>
      </c>
      <c r="U29" s="2"/>
      <c r="V29" s="6">
        <f t="shared" si="19"/>
        <v>1.6894180028965408E-2</v>
      </c>
      <c r="W29" s="2"/>
      <c r="X29" s="7">
        <f t="shared" si="20"/>
        <v>-3122.2876000000001</v>
      </c>
      <c r="Y29" s="2"/>
      <c r="Z29" s="6">
        <f t="shared" si="21"/>
        <v>-0.8718605857469901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224.64</v>
      </c>
      <c r="I31" s="2"/>
      <c r="J31" s="6">
        <f t="shared" si="15"/>
        <v>4.7886423226961693E-3</v>
      </c>
      <c r="K31" s="2"/>
      <c r="L31" s="7">
        <f t="shared" si="16"/>
        <v>-224.64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2082.08</v>
      </c>
      <c r="U31" s="2"/>
      <c r="V31" s="6">
        <f t="shared" si="19"/>
        <v>9.8221976912589576E-3</v>
      </c>
      <c r="W31" s="2"/>
      <c r="X31" s="7">
        <f t="shared" si="20"/>
        <v>-1929.98</v>
      </c>
      <c r="Y31" s="2"/>
      <c r="Z31" s="6">
        <f t="shared" si="21"/>
        <v>-0.92694805194805197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440.85599999999999</v>
      </c>
      <c r="I32" s="2"/>
      <c r="J32" s="6">
        <f t="shared" si="15"/>
        <v>9.3977105582912328E-3</v>
      </c>
      <c r="K32" s="2"/>
      <c r="L32" s="7">
        <f t="shared" si="16"/>
        <v>-440.85599999999999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3267.3679999999999</v>
      </c>
      <c r="U32" s="2"/>
      <c r="V32" s="6">
        <f t="shared" si="19"/>
        <v>1.5413785457856276E-2</v>
      </c>
      <c r="W32" s="2"/>
      <c r="X32" s="7">
        <f t="shared" si="20"/>
        <v>-3063.3879999999999</v>
      </c>
      <c r="Y32" s="2"/>
      <c r="Z32" s="6">
        <f t="shared" si="21"/>
        <v>-0.93757054607867862</v>
      </c>
    </row>
    <row r="33" spans="1:26" s="25" customFormat="1" outlineLevel="1" collapsed="1" x14ac:dyDescent="0.25">
      <c r="A33" s="27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11034.504000000001</v>
      </c>
      <c r="I33" s="1"/>
      <c r="J33" s="5">
        <f t="shared" ref="J33:J43" si="23">IF(H$12=0,0,H33/H$12)</f>
        <v>0.23522210142610478</v>
      </c>
      <c r="K33" s="1"/>
      <c r="L33" s="1">
        <f t="shared" ref="L33:L43" si="24">+D33-H33</f>
        <v>-11034.504000000001</v>
      </c>
      <c r="M33" s="1"/>
      <c r="N33" s="5">
        <f t="shared" ref="N33:N43" si="25">IF(H33=0,0,L33/H33)</f>
        <v>-1</v>
      </c>
      <c r="O33" s="13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75801.752000000008</v>
      </c>
      <c r="U33" s="1"/>
      <c r="V33" s="5">
        <f t="shared" ref="V33:V43" si="27">IF(T$12=0,0,T33/T$12)</f>
        <v>0.35759422956264125</v>
      </c>
      <c r="W33" s="1"/>
      <c r="X33" s="1">
        <f t="shared" ref="X33:X43" si="28">+P33-T33</f>
        <v>-74917.752000000008</v>
      </c>
      <c r="Y33" s="1"/>
      <c r="Z33" s="5">
        <f t="shared" ref="Z33:Z43" si="29">IF(T33=0,0,X33/T33)</f>
        <v>-0.988338000419832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4043.52</v>
      </c>
      <c r="I35" s="2"/>
      <c r="J35" s="6">
        <f t="shared" si="23"/>
        <v>8.6195561808531052E-2</v>
      </c>
      <c r="K35" s="2"/>
      <c r="L35" s="7">
        <f t="shared" si="24"/>
        <v>-4043.52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37477.440000000002</v>
      </c>
      <c r="U35" s="2"/>
      <c r="V35" s="6">
        <f t="shared" si="27"/>
        <v>0.17679955844266124</v>
      </c>
      <c r="W35" s="2"/>
      <c r="X35" s="7">
        <f t="shared" si="28"/>
        <v>-36593.440000000002</v>
      </c>
      <c r="Y35" s="2"/>
      <c r="Z35" s="6">
        <f t="shared" si="29"/>
        <v>-0.97641247641247642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1815.84</v>
      </c>
      <c r="I38" s="2"/>
      <c r="J38" s="6">
        <f t="shared" si="23"/>
        <v>3.8708192108460701E-2</v>
      </c>
      <c r="K38" s="2"/>
      <c r="L38" s="7">
        <f t="shared" si="24"/>
        <v>-1815.84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11855.922</v>
      </c>
      <c r="U38" s="2"/>
      <c r="V38" s="6">
        <f t="shared" si="27"/>
        <v>5.593022827948315E-2</v>
      </c>
      <c r="W38" s="2"/>
      <c r="X38" s="7">
        <f t="shared" si="28"/>
        <v>-11855.922</v>
      </c>
      <c r="Y38" s="2"/>
      <c r="Z38" s="6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3.5692551550404053E-3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5175.1440000000002</v>
      </c>
      <c r="I41" s="2"/>
      <c r="J41" s="6">
        <f t="shared" si="23"/>
        <v>0.11031834750911301</v>
      </c>
      <c r="K41" s="2"/>
      <c r="L41" s="7">
        <f t="shared" si="24"/>
        <v>-5175.1440000000002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25711.79</v>
      </c>
      <c r="U41" s="2"/>
      <c r="V41" s="6">
        <f t="shared" si="27"/>
        <v>0.12129518768545644</v>
      </c>
      <c r="W41" s="2"/>
      <c r="X41" s="7">
        <f t="shared" si="28"/>
        <v>-25711.79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200</v>
      </c>
      <c r="I44" s="1"/>
      <c r="J44" s="5">
        <f t="shared" ref="J44:J52" si="31">IF(H$12=0,0,H44/H$12)</f>
        <v>4.2633923813178145E-3</v>
      </c>
      <c r="K44" s="1"/>
      <c r="L44" s="1">
        <f t="shared" ref="L44:L52" si="32">+D44-H44</f>
        <v>-200</v>
      </c>
      <c r="M44" s="1"/>
      <c r="N44" s="5">
        <f t="shared" ref="N44:N52" si="33">IF(H44=0,0,L44/H44)</f>
        <v>-1</v>
      </c>
      <c r="O44" s="13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1169</v>
      </c>
      <c r="U44" s="1"/>
      <c r="V44" s="5">
        <f t="shared" ref="V44:V52" si="35">IF(T$12=0,0,T44/T$12)</f>
        <v>5.514749241663011E-3</v>
      </c>
      <c r="W44" s="1"/>
      <c r="X44" s="1">
        <f t="shared" ref="X44:X52" si="36">+P44-T44</f>
        <v>-1169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200</v>
      </c>
      <c r="I45" s="2"/>
      <c r="J45" s="6">
        <f t="shared" si="31"/>
        <v>4.2633923813178145E-3</v>
      </c>
      <c r="K45" s="2"/>
      <c r="L45" s="7">
        <f t="shared" si="32"/>
        <v>-200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1169</v>
      </c>
      <c r="U45" s="2"/>
      <c r="V45" s="6">
        <f t="shared" si="35"/>
        <v>5.514749241663011E-3</v>
      </c>
      <c r="W45" s="2"/>
      <c r="X45" s="7">
        <f t="shared" si="36"/>
        <v>-1169</v>
      </c>
      <c r="Y45" s="2"/>
      <c r="Z45" s="6">
        <f t="shared" si="37"/>
        <v>-1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1.7053569525271259E-4</v>
      </c>
      <c r="K46" s="1"/>
      <c r="L46" s="1">
        <f t="shared" si="32"/>
        <v>-8</v>
      </c>
      <c r="M46" s="1"/>
      <c r="N46" s="5">
        <f t="shared" si="33"/>
        <v>-1</v>
      </c>
      <c r="O46" s="13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72</v>
      </c>
      <c r="U46" s="1"/>
      <c r="V46" s="5">
        <f t="shared" si="35"/>
        <v>3.3965949135991171E-4</v>
      </c>
      <c r="W46" s="1"/>
      <c r="X46" s="1">
        <f t="shared" si="36"/>
        <v>-72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1.7053569525271259E-4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72</v>
      </c>
      <c r="U47" s="2"/>
      <c r="V47" s="6">
        <f t="shared" si="35"/>
        <v>3.3965949135991171E-4</v>
      </c>
      <c r="W47" s="2"/>
      <c r="X47" s="7">
        <f t="shared" si="36"/>
        <v>-72</v>
      </c>
      <c r="Y47" s="2"/>
      <c r="Z47" s="6">
        <f t="shared" si="37"/>
        <v>-1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2005</v>
      </c>
      <c r="I48" s="1"/>
      <c r="J48" s="5">
        <f t="shared" si="31"/>
        <v>4.2740508622711094E-2</v>
      </c>
      <c r="K48" s="1"/>
      <c r="L48" s="1">
        <f t="shared" si="32"/>
        <v>-2005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22637</v>
      </c>
      <c r="U48" s="1"/>
      <c r="V48" s="5">
        <f t="shared" si="35"/>
        <v>0.10678988758214335</v>
      </c>
      <c r="W48" s="1"/>
      <c r="X48" s="1">
        <f t="shared" si="36"/>
        <v>-22637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2005</v>
      </c>
      <c r="I49" s="2"/>
      <c r="J49" s="6">
        <f t="shared" si="31"/>
        <v>4.2740508622711094E-2</v>
      </c>
      <c r="K49" s="2"/>
      <c r="L49" s="7">
        <f t="shared" si="32"/>
        <v>-2005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22637</v>
      </c>
      <c r="U49" s="2"/>
      <c r="V49" s="6">
        <f t="shared" si="35"/>
        <v>0.10678988758214335</v>
      </c>
      <c r="W49" s="2"/>
      <c r="X49" s="7">
        <f t="shared" si="36"/>
        <v>-22637</v>
      </c>
      <c r="Y49" s="2"/>
      <c r="Z49" s="6">
        <f t="shared" si="37"/>
        <v>-1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0.11662509859094881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3"/>
      <c r="P50" s="1">
        <f>SUM(OSRRefP22_5x_0)</f>
        <v>49686.39</v>
      </c>
      <c r="Q50" s="1"/>
      <c r="R50" s="5">
        <f t="shared" si="34"/>
        <v>0</v>
      </c>
      <c r="S50" s="1"/>
      <c r="T50" s="1">
        <f>SUM(OSRRefT22_5x_0)</f>
        <v>49687</v>
      </c>
      <c r="U50" s="1"/>
      <c r="V50" s="5">
        <f t="shared" si="35"/>
        <v>0.23439807148888794</v>
      </c>
      <c r="W50" s="1"/>
      <c r="X50" s="1">
        <f t="shared" si="36"/>
        <v>-0.61000000000058208</v>
      </c>
      <c r="Y50" s="1"/>
      <c r="Z50" s="5">
        <f t="shared" si="37"/>
        <v>-1.2276853100420273E-5</v>
      </c>
    </row>
    <row r="51" spans="1:26" s="24" customFormat="1" hidden="1" outlineLevel="2" x14ac:dyDescent="0.25">
      <c r="A51" s="26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45724.59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45724.59</v>
      </c>
      <c r="Y51" s="2"/>
      <c r="Z51" s="6">
        <f t="shared" si="37"/>
        <v>0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0.11662509859094881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3961.8</v>
      </c>
      <c r="Q52" s="2"/>
      <c r="R52" s="6">
        <f t="shared" si="34"/>
        <v>0</v>
      </c>
      <c r="S52" s="2"/>
      <c r="T52" s="7">
        <v>49687</v>
      </c>
      <c r="U52" s="2"/>
      <c r="V52" s="6">
        <f t="shared" si="35"/>
        <v>0.23439807148888794</v>
      </c>
      <c r="W52" s="2"/>
      <c r="X52" s="7">
        <f t="shared" si="36"/>
        <v>-45725.2</v>
      </c>
      <c r="Y52" s="2"/>
      <c r="Z52" s="6">
        <f t="shared" si="37"/>
        <v>-0.92026485801114977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0</v>
      </c>
      <c r="I53" s="1"/>
      <c r="J53" s="5">
        <f t="shared" ref="J53:J67" si="39">IF(H$12=0,0,H53/H$12)</f>
        <v>0</v>
      </c>
      <c r="K53" s="1"/>
      <c r="L53" s="1">
        <f t="shared" ref="L53:L67" si="40">+D53-H53</f>
        <v>0</v>
      </c>
      <c r="M53" s="1"/>
      <c r="N53" s="5">
        <f t="shared" ref="N53:N67" si="41">IF(H53=0,0,L53/H53)</f>
        <v>0</v>
      </c>
      <c r="O53" s="13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50</v>
      </c>
      <c r="U53" s="1"/>
      <c r="V53" s="5">
        <f t="shared" ref="V53:V67" si="43">IF(T$12=0,0,T53/T$12)</f>
        <v>2.3587464677771644E-4</v>
      </c>
      <c r="W53" s="1"/>
      <c r="X53" s="1">
        <f t="shared" ref="X53:X67" si="44">+P53-T53</f>
        <v>-50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/>
      <c r="Q54" s="2"/>
      <c r="R54" s="6">
        <f t="shared" si="42"/>
        <v>0</v>
      </c>
      <c r="S54" s="2"/>
      <c r="T54" s="7">
        <v>50</v>
      </c>
      <c r="U54" s="2"/>
      <c r="V54" s="6">
        <f t="shared" si="43"/>
        <v>2.3587464677771644E-4</v>
      </c>
      <c r="W54" s="2"/>
      <c r="X54" s="7">
        <f t="shared" si="44"/>
        <v>-50</v>
      </c>
      <c r="Y54" s="2"/>
      <c r="Z54" s="6">
        <f t="shared" si="45"/>
        <v>-1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3.1122764383620044E-3</v>
      </c>
      <c r="K55" s="1"/>
      <c r="L55" s="1">
        <f t="shared" si="40"/>
        <v>-146</v>
      </c>
      <c r="M55" s="1"/>
      <c r="N55" s="5">
        <f t="shared" si="41"/>
        <v>-1</v>
      </c>
      <c r="O55" s="13"/>
      <c r="P55" s="1">
        <f>SUM(OSRRefP22_7x_0)</f>
        <v>428.95</v>
      </c>
      <c r="Q55" s="1"/>
      <c r="R55" s="5">
        <f t="shared" si="42"/>
        <v>0</v>
      </c>
      <c r="S55" s="1"/>
      <c r="T55" s="1">
        <f>SUM(OSRRefT22_7x_0)</f>
        <v>876</v>
      </c>
      <c r="U55" s="1"/>
      <c r="V55" s="5">
        <f t="shared" si="43"/>
        <v>4.1325238115455919E-3</v>
      </c>
      <c r="W55" s="1"/>
      <c r="X55" s="1">
        <f t="shared" si="44"/>
        <v>-447.05</v>
      </c>
      <c r="Y55" s="1"/>
      <c r="Z55" s="5">
        <f t="shared" si="45"/>
        <v>-0.51033105022831049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7"/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3.1122764383620044E-3</v>
      </c>
      <c r="K56" s="2"/>
      <c r="L56" s="7">
        <f t="shared" si="40"/>
        <v>-146</v>
      </c>
      <c r="M56" s="2"/>
      <c r="N56" s="6">
        <f t="shared" si="41"/>
        <v>-1</v>
      </c>
      <c r="O56" s="11"/>
      <c r="P56" s="7">
        <v>428.95</v>
      </c>
      <c r="Q56" s="2"/>
      <c r="R56" s="6">
        <f t="shared" si="42"/>
        <v>0</v>
      </c>
      <c r="S56" s="2"/>
      <c r="T56" s="7">
        <v>876</v>
      </c>
      <c r="U56" s="2"/>
      <c r="V56" s="6">
        <f t="shared" si="43"/>
        <v>4.1325238115455919E-3</v>
      </c>
      <c r="W56" s="2"/>
      <c r="X56" s="7">
        <f t="shared" si="44"/>
        <v>-447.05</v>
      </c>
      <c r="Y56" s="2"/>
      <c r="Z56" s="6">
        <f t="shared" si="45"/>
        <v>-0.51033105022831049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3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3.773994348443463E-3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3.773994348443463E-3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5" customFormat="1" outlineLevel="1" collapsed="1" x14ac:dyDescent="0.25">
      <c r="A59" s="27"/>
      <c r="B59" s="13" t="str">
        <f>CONCATENATE("     ","Insurance                                         ")</f>
        <v xml:space="preserve">     Insurance                                         </v>
      </c>
      <c r="C59" s="13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5.7555797147790496E-3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3"/>
      <c r="P59" s="1">
        <f>SUM(OSRRefP22_9x_0)</f>
        <v>2191.86</v>
      </c>
      <c r="Q59" s="1"/>
      <c r="R59" s="5">
        <f t="shared" si="42"/>
        <v>0</v>
      </c>
      <c r="S59" s="1"/>
      <c r="T59" s="1">
        <f>SUM(OSRRefT22_9x_0)</f>
        <v>2430</v>
      </c>
      <c r="U59" s="1"/>
      <c r="V59" s="5">
        <f t="shared" si="43"/>
        <v>1.1463507833397019E-2</v>
      </c>
      <c r="W59" s="1"/>
      <c r="X59" s="1">
        <f t="shared" si="44"/>
        <v>-238.13999999999987</v>
      </c>
      <c r="Y59" s="1"/>
      <c r="Z59" s="5">
        <f t="shared" si="45"/>
        <v>-9.7999999999999948E-2</v>
      </c>
    </row>
    <row r="60" spans="1:26" s="24" customFormat="1" hidden="1" outlineLevel="2" x14ac:dyDescent="0.25">
      <c r="A60" s="26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5.7555797147790496E-3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2191.86</v>
      </c>
      <c r="Q60" s="2"/>
      <c r="R60" s="6">
        <f t="shared" si="42"/>
        <v>0</v>
      </c>
      <c r="S60" s="2"/>
      <c r="T60" s="7">
        <v>2430</v>
      </c>
      <c r="U60" s="2"/>
      <c r="V60" s="6">
        <f t="shared" si="43"/>
        <v>1.1463507833397019E-2</v>
      </c>
      <c r="W60" s="2"/>
      <c r="X60" s="7">
        <f t="shared" si="44"/>
        <v>-238.13999999999987</v>
      </c>
      <c r="Y60" s="2"/>
      <c r="Z60" s="6">
        <f t="shared" si="45"/>
        <v>-9.7999999999999948E-2</v>
      </c>
    </row>
    <row r="61" spans="1:26" s="25" customFormat="1" outlineLevel="1" collapsed="1" x14ac:dyDescent="0.25">
      <c r="A61" s="27"/>
      <c r="B61" s="13" t="str">
        <f>CONCATENATE("     ","Interest                                          ")</f>
        <v xml:space="preserve">     Interest                                          </v>
      </c>
      <c r="C61" s="13"/>
      <c r="D61" s="1">
        <f>SUM(OSRRefD22_10x_0)</f>
        <v>4044</v>
      </c>
      <c r="E61" s="1"/>
      <c r="F61" s="5">
        <f t="shared" si="38"/>
        <v>0</v>
      </c>
      <c r="G61" s="1"/>
      <c r="H61" s="1">
        <f>SUM(OSRRefH22_10x_0)</f>
        <v>4044</v>
      </c>
      <c r="I61" s="1"/>
      <c r="J61" s="5">
        <f t="shared" si="39"/>
        <v>8.6205793950246218E-2</v>
      </c>
      <c r="K61" s="1"/>
      <c r="L61" s="1">
        <f t="shared" si="40"/>
        <v>0</v>
      </c>
      <c r="M61" s="1"/>
      <c r="N61" s="5">
        <f t="shared" si="41"/>
        <v>0</v>
      </c>
      <c r="O61" s="13"/>
      <c r="P61" s="1">
        <f>SUM(OSRRefP22_10x_0)</f>
        <v>36133.85</v>
      </c>
      <c r="Q61" s="1"/>
      <c r="R61" s="5">
        <f t="shared" si="42"/>
        <v>0</v>
      </c>
      <c r="S61" s="1"/>
      <c r="T61" s="1">
        <f>SUM(OSRRefT22_10x_0)</f>
        <v>36396</v>
      </c>
      <c r="U61" s="1"/>
      <c r="V61" s="5">
        <f t="shared" si="43"/>
        <v>0.17169787288243535</v>
      </c>
      <c r="W61" s="1"/>
      <c r="X61" s="1">
        <f t="shared" si="44"/>
        <v>-262.15000000000146</v>
      </c>
      <c r="Y61" s="1"/>
      <c r="Z61" s="5">
        <f t="shared" si="45"/>
        <v>-7.2027145840202617E-3</v>
      </c>
    </row>
    <row r="62" spans="1:26" s="24" customFormat="1" hidden="1" outlineLevel="2" x14ac:dyDescent="0.25">
      <c r="A62" s="26"/>
      <c r="B62" s="11" t="str">
        <f>CONCATENATE("          ", "6401", " - ", "INTEREST EXPENSE")</f>
        <v xml:space="preserve">          6401 - INTEREST EXPENSE</v>
      </c>
      <c r="C62" s="11"/>
      <c r="D62" s="7">
        <v>4044</v>
      </c>
      <c r="E62" s="2"/>
      <c r="F62" s="6">
        <f t="shared" si="38"/>
        <v>0</v>
      </c>
      <c r="G62" s="2"/>
      <c r="H62" s="7">
        <v>4044</v>
      </c>
      <c r="I62" s="2"/>
      <c r="J62" s="6">
        <f t="shared" si="39"/>
        <v>8.6205793950246218E-2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36133.85</v>
      </c>
      <c r="Q62" s="2"/>
      <c r="R62" s="6">
        <f t="shared" si="42"/>
        <v>0</v>
      </c>
      <c r="S62" s="2"/>
      <c r="T62" s="7">
        <v>36396</v>
      </c>
      <c r="U62" s="2"/>
      <c r="V62" s="6">
        <f t="shared" si="43"/>
        <v>0.17169787288243535</v>
      </c>
      <c r="W62" s="2"/>
      <c r="X62" s="7">
        <f t="shared" si="44"/>
        <v>-262.15000000000146</v>
      </c>
      <c r="Y62" s="2"/>
      <c r="Z62" s="6">
        <f t="shared" si="45"/>
        <v>-7.2027145840202617E-3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SUM(OSRRefD22_11x_0)</f>
        <v>233.51999999999998</v>
      </c>
      <c r="E63" s="1"/>
      <c r="F63" s="5">
        <f t="shared" si="38"/>
        <v>0</v>
      </c>
      <c r="G63" s="1"/>
      <c r="H63" s="1">
        <f>SUM(OSRRefH22_11x_0)</f>
        <v>150</v>
      </c>
      <c r="I63" s="1"/>
      <c r="J63" s="5">
        <f t="shared" si="39"/>
        <v>3.1975442859883611E-3</v>
      </c>
      <c r="K63" s="1"/>
      <c r="L63" s="1">
        <f t="shared" si="40"/>
        <v>83.519999999999982</v>
      </c>
      <c r="M63" s="1"/>
      <c r="N63" s="5">
        <f t="shared" si="41"/>
        <v>0.55679999999999985</v>
      </c>
      <c r="O63" s="13"/>
      <c r="P63" s="1">
        <f>SUM(OSRRefP22_11x_0)</f>
        <v>637.16000000000008</v>
      </c>
      <c r="Q63" s="1"/>
      <c r="R63" s="5">
        <f t="shared" si="42"/>
        <v>0</v>
      </c>
      <c r="S63" s="1"/>
      <c r="T63" s="1">
        <f>SUM(OSRRefT22_11x_0)</f>
        <v>1227</v>
      </c>
      <c r="U63" s="1"/>
      <c r="V63" s="5">
        <f t="shared" si="43"/>
        <v>5.7883638319251619E-3</v>
      </c>
      <c r="W63" s="1"/>
      <c r="X63" s="1">
        <f t="shared" si="44"/>
        <v>-589.83999999999992</v>
      </c>
      <c r="Y63" s="1"/>
      <c r="Z63" s="5">
        <f t="shared" si="45"/>
        <v>-0.48071719641401789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2.0285219622883616E-4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25">
      <c r="A65" s="26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2.0615444128372416E-3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7">
        <v>108.52</v>
      </c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108.52</v>
      </c>
      <c r="M66" s="2"/>
      <c r="N66" s="6">
        <f t="shared" si="41"/>
        <v>0</v>
      </c>
      <c r="O66" s="11"/>
      <c r="P66" s="7">
        <v>404.16</v>
      </c>
      <c r="Q66" s="2"/>
      <c r="R66" s="6">
        <f t="shared" si="42"/>
        <v>0</v>
      </c>
      <c r="S66" s="2"/>
      <c r="T66" s="7">
        <v>231</v>
      </c>
      <c r="U66" s="2"/>
      <c r="V66" s="6">
        <f t="shared" si="43"/>
        <v>1.08974086811305E-3</v>
      </c>
      <c r="W66" s="2"/>
      <c r="X66" s="7">
        <f t="shared" si="44"/>
        <v>173.16000000000003</v>
      </c>
      <c r="Y66" s="2"/>
      <c r="Z66" s="6">
        <f t="shared" si="45"/>
        <v>0.74961038961038973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125</v>
      </c>
      <c r="E67" s="2"/>
      <c r="F67" s="6">
        <f t="shared" si="38"/>
        <v>0</v>
      </c>
      <c r="G67" s="2"/>
      <c r="H67" s="7">
        <v>150</v>
      </c>
      <c r="I67" s="2"/>
      <c r="J67" s="6">
        <f t="shared" si="39"/>
        <v>3.1975442859883611E-3</v>
      </c>
      <c r="K67" s="2"/>
      <c r="L67" s="7">
        <f t="shared" si="40"/>
        <v>-25</v>
      </c>
      <c r="M67" s="2"/>
      <c r="N67" s="6">
        <f t="shared" si="41"/>
        <v>-0.16666666666666666</v>
      </c>
      <c r="O67" s="11"/>
      <c r="P67" s="7">
        <v>233</v>
      </c>
      <c r="Q67" s="2"/>
      <c r="R67" s="6">
        <f t="shared" si="42"/>
        <v>0</v>
      </c>
      <c r="S67" s="2"/>
      <c r="T67" s="7">
        <v>516</v>
      </c>
      <c r="U67" s="2"/>
      <c r="V67" s="6">
        <f t="shared" si="43"/>
        <v>2.4342263547460336E-3</v>
      </c>
      <c r="W67" s="2"/>
      <c r="X67" s="7">
        <f t="shared" si="44"/>
        <v>-283</v>
      </c>
      <c r="Y67" s="2"/>
      <c r="Z67" s="6">
        <f t="shared" si="45"/>
        <v>-0.54844961240310075</v>
      </c>
    </row>
    <row r="68" spans="1:26" s="25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-123.65</v>
      </c>
      <c r="E68" s="1"/>
      <c r="F68" s="5">
        <f t="shared" ref="F68:F71" si="46">IF(D$12=0,0,D68/D$12)</f>
        <v>0</v>
      </c>
      <c r="G68" s="1"/>
      <c r="H68" s="1">
        <f>SUM(OSRRefH22_12x_0)</f>
        <v>393</v>
      </c>
      <c r="I68" s="1"/>
      <c r="J68" s="5">
        <f t="shared" ref="J68:J71" si="47">IF(H$12=0,0,H68/H$12)</f>
        <v>8.3775660292895061E-3</v>
      </c>
      <c r="K68" s="1"/>
      <c r="L68" s="1">
        <f t="shared" ref="L68:L71" si="48">+D68-H68</f>
        <v>-516.65</v>
      </c>
      <c r="M68" s="1"/>
      <c r="N68" s="5">
        <f t="shared" ref="N68:N71" si="49">IF(H68=0,0,L68/H68)</f>
        <v>-1.3146310432569974</v>
      </c>
      <c r="O68" s="13"/>
      <c r="P68" s="1">
        <f>SUM(OSRRefP22_12x_0)</f>
        <v>1661.75</v>
      </c>
      <c r="Q68" s="1"/>
      <c r="R68" s="5">
        <f t="shared" ref="R68:R71" si="50">IF(P$12=0,0,P68/P$12)</f>
        <v>0</v>
      </c>
      <c r="S68" s="1"/>
      <c r="T68" s="1">
        <f>SUM(OSRRefT22_12x_0)</f>
        <v>4945</v>
      </c>
      <c r="U68" s="1"/>
      <c r="V68" s="5">
        <f t="shared" ref="V68:V71" si="51">IF(T$12=0,0,T68/T$12)</f>
        <v>2.3328002566316158E-2</v>
      </c>
      <c r="W68" s="1"/>
      <c r="X68" s="1">
        <f t="shared" ref="X68:X71" si="52">+P68-T68</f>
        <v>-3283.25</v>
      </c>
      <c r="Y68" s="1"/>
      <c r="Z68" s="5">
        <f t="shared" ref="Z68:Z71" si="53">IF(T68=0,0,X68/T68)</f>
        <v>-0.663953488372093</v>
      </c>
    </row>
    <row r="69" spans="1:26" s="24" customFormat="1" hidden="1" outlineLevel="2" x14ac:dyDescent="0.25">
      <c r="A69" s="26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157.35</v>
      </c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157.35</v>
      </c>
      <c r="M69" s="2"/>
      <c r="N69" s="6">
        <f t="shared" si="49"/>
        <v>0</v>
      </c>
      <c r="O69" s="11"/>
      <c r="P69" s="7">
        <v>786.75</v>
      </c>
      <c r="Q69" s="2"/>
      <c r="R69" s="6">
        <f t="shared" si="50"/>
        <v>0</v>
      </c>
      <c r="S69" s="2"/>
      <c r="T69" s="7">
        <v>1416</v>
      </c>
      <c r="U69" s="2"/>
      <c r="V69" s="6">
        <f t="shared" si="51"/>
        <v>6.6799699967449297E-3</v>
      </c>
      <c r="W69" s="2"/>
      <c r="X69" s="7">
        <f t="shared" si="52"/>
        <v>-629.25</v>
      </c>
      <c r="Y69" s="2"/>
      <c r="Z69" s="6">
        <f t="shared" si="53"/>
        <v>-0.44438559322033899</v>
      </c>
    </row>
    <row r="70" spans="1:26" s="24" customFormat="1" hidden="1" outlineLevel="2" x14ac:dyDescent="0.25">
      <c r="A70" s="26"/>
      <c r="B70" s="11" t="str">
        <f>CONCATENATE("          ", "6284", " - ", "TRASH REMOVAL EXPENSE")</f>
        <v xml:space="preserve">          6284 - TRASH REMOVAL EXPENSE</v>
      </c>
      <c r="C70" s="11"/>
      <c r="D70" s="7">
        <v>-281</v>
      </c>
      <c r="E70" s="2"/>
      <c r="F70" s="6">
        <f t="shared" si="46"/>
        <v>0</v>
      </c>
      <c r="G70" s="2"/>
      <c r="H70" s="7">
        <v>289</v>
      </c>
      <c r="I70" s="2"/>
      <c r="J70" s="6">
        <f t="shared" si="47"/>
        <v>6.1606019910042421E-3</v>
      </c>
      <c r="K70" s="2"/>
      <c r="L70" s="7">
        <f t="shared" si="48"/>
        <v>-570</v>
      </c>
      <c r="M70" s="2"/>
      <c r="N70" s="6">
        <f t="shared" si="49"/>
        <v>-1.972318339100346</v>
      </c>
      <c r="O70" s="11"/>
      <c r="P70" s="7">
        <v>875</v>
      </c>
      <c r="Q70" s="2"/>
      <c r="R70" s="6">
        <f t="shared" si="50"/>
        <v>0</v>
      </c>
      <c r="S70" s="2"/>
      <c r="T70" s="7">
        <v>2600</v>
      </c>
      <c r="U70" s="2"/>
      <c r="V70" s="6">
        <f t="shared" si="51"/>
        <v>1.2265481632441256E-2</v>
      </c>
      <c r="W70" s="2"/>
      <c r="X70" s="7">
        <f t="shared" si="52"/>
        <v>-1725</v>
      </c>
      <c r="Y70" s="2"/>
      <c r="Z70" s="6">
        <f t="shared" si="53"/>
        <v>-0.66346153846153844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104</v>
      </c>
      <c r="I71" s="2"/>
      <c r="J71" s="6">
        <f t="shared" si="47"/>
        <v>2.2169640382852635E-3</v>
      </c>
      <c r="K71" s="2"/>
      <c r="L71" s="7">
        <f t="shared" si="48"/>
        <v>-104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929</v>
      </c>
      <c r="U71" s="2"/>
      <c r="V71" s="6">
        <f t="shared" si="51"/>
        <v>4.3825509371299715E-3</v>
      </c>
      <c r="W71" s="2"/>
      <c r="X71" s="7">
        <f t="shared" si="52"/>
        <v>-929</v>
      </c>
      <c r="Y71" s="2"/>
      <c r="Z71" s="6">
        <f t="shared" si="53"/>
        <v>-1</v>
      </c>
    </row>
    <row r="72" spans="1:26" s="25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3.7517852955596767E-3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3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1584</v>
      </c>
      <c r="U72" s="1"/>
      <c r="V72" s="5">
        <f t="shared" ref="V72:V79" si="59">IF(T$12=0,0,T72/T$12)</f>
        <v>7.4725088099180572E-3</v>
      </c>
      <c r="W72" s="1"/>
      <c r="X72" s="1">
        <f t="shared" ref="X72:X79" si="60">+P72-T72</f>
        <v>-1584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6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3.7517852955596767E-3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1584</v>
      </c>
      <c r="U73" s="2"/>
      <c r="V73" s="6">
        <f t="shared" si="59"/>
        <v>7.4725088099180572E-3</v>
      </c>
      <c r="W73" s="2"/>
      <c r="X73" s="7">
        <f t="shared" si="60"/>
        <v>-1584</v>
      </c>
      <c r="Y73" s="2"/>
      <c r="Z73" s="6">
        <f t="shared" si="61"/>
        <v>-1</v>
      </c>
    </row>
    <row r="74" spans="1:26" s="25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581</v>
      </c>
      <c r="I74" s="1"/>
      <c r="J74" s="5">
        <f t="shared" si="55"/>
        <v>1.2385154867728251E-2</v>
      </c>
      <c r="K74" s="1"/>
      <c r="L74" s="1">
        <f t="shared" si="56"/>
        <v>-581</v>
      </c>
      <c r="M74" s="1"/>
      <c r="N74" s="5">
        <f t="shared" si="57"/>
        <v>-1</v>
      </c>
      <c r="O74" s="13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12516</v>
      </c>
      <c r="U74" s="1"/>
      <c r="V74" s="5">
        <f t="shared" si="59"/>
        <v>5.904414158139798E-2</v>
      </c>
      <c r="W74" s="1"/>
      <c r="X74" s="1">
        <f t="shared" si="60"/>
        <v>-11881.76</v>
      </c>
      <c r="Y74" s="1"/>
      <c r="Z74" s="5">
        <f t="shared" si="61"/>
        <v>-0.94932566315116651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1.3208980219552122E-4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200</v>
      </c>
      <c r="I76" s="2"/>
      <c r="J76" s="6">
        <f t="shared" si="55"/>
        <v>4.2633923813178145E-3</v>
      </c>
      <c r="K76" s="2"/>
      <c r="L76" s="7">
        <f t="shared" si="56"/>
        <v>-200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2500</v>
      </c>
      <c r="U76" s="2"/>
      <c r="V76" s="6">
        <f t="shared" si="59"/>
        <v>1.1793732338885822E-2</v>
      </c>
      <c r="W76" s="2"/>
      <c r="X76" s="7">
        <f t="shared" si="60"/>
        <v>-2500</v>
      </c>
      <c r="Y76" s="2"/>
      <c r="Z76" s="6">
        <f t="shared" si="61"/>
        <v>-1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>
        <v>231</v>
      </c>
      <c r="I77" s="2"/>
      <c r="J77" s="6">
        <f t="shared" si="55"/>
        <v>4.9242182004220758E-3</v>
      </c>
      <c r="K77" s="2"/>
      <c r="L77" s="7">
        <f t="shared" si="56"/>
        <v>-231</v>
      </c>
      <c r="M77" s="2"/>
      <c r="N77" s="6">
        <f t="shared" si="57"/>
        <v>-1</v>
      </c>
      <c r="O77" s="11"/>
      <c r="P77" s="7">
        <v>317.57</v>
      </c>
      <c r="Q77" s="2"/>
      <c r="R77" s="6">
        <f t="shared" si="58"/>
        <v>0</v>
      </c>
      <c r="S77" s="2"/>
      <c r="T77" s="7">
        <v>922</v>
      </c>
      <c r="U77" s="2"/>
      <c r="V77" s="6">
        <f t="shared" si="59"/>
        <v>4.3495284865810915E-3</v>
      </c>
      <c r="W77" s="2"/>
      <c r="X77" s="7">
        <f t="shared" si="60"/>
        <v>-604.43000000000006</v>
      </c>
      <c r="Y77" s="2"/>
      <c r="Z77" s="6">
        <f t="shared" si="61"/>
        <v>-0.65556399132321053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/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1272</v>
      </c>
      <c r="U78" s="2"/>
      <c r="V78" s="6">
        <f t="shared" si="59"/>
        <v>6.0006510140251067E-3</v>
      </c>
      <c r="W78" s="2"/>
      <c r="X78" s="7">
        <f t="shared" si="60"/>
        <v>-1272</v>
      </c>
      <c r="Y78" s="2"/>
      <c r="Z78" s="6">
        <f t="shared" si="61"/>
        <v>-1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>
        <v>150</v>
      </c>
      <c r="I79" s="2"/>
      <c r="J79" s="6">
        <f t="shared" si="55"/>
        <v>3.1975442859883611E-3</v>
      </c>
      <c r="K79" s="2"/>
      <c r="L79" s="7">
        <f t="shared" si="56"/>
        <v>-150</v>
      </c>
      <c r="M79" s="2"/>
      <c r="N79" s="6">
        <f t="shared" si="57"/>
        <v>-1</v>
      </c>
      <c r="O79" s="11"/>
      <c r="P79" s="7"/>
      <c r="Q79" s="2"/>
      <c r="R79" s="6">
        <f t="shared" si="58"/>
        <v>0</v>
      </c>
      <c r="S79" s="2"/>
      <c r="T79" s="7">
        <v>7794</v>
      </c>
      <c r="U79" s="2"/>
      <c r="V79" s="6">
        <f t="shared" si="59"/>
        <v>3.676813993971044E-2</v>
      </c>
      <c r="W79" s="2"/>
      <c r="X79" s="7">
        <f t="shared" si="60"/>
        <v>-7794</v>
      </c>
      <c r="Y79" s="2"/>
      <c r="Z79" s="6">
        <f t="shared" si="61"/>
        <v>-1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22</v>
      </c>
      <c r="E80" s="1"/>
      <c r="F80" s="5">
        <f t="shared" ref="F80:F82" si="62">IF(D$12=0,0,D80/D$12)</f>
        <v>0</v>
      </c>
      <c r="G80" s="1"/>
      <c r="H80" s="1">
        <f>SUM(OSRRefH22_15x_0)</f>
        <v>40</v>
      </c>
      <c r="I80" s="1"/>
      <c r="J80" s="5">
        <f t="shared" ref="J80:J82" si="63">IF(H$12=0,0,H80/H$12)</f>
        <v>8.5267847626356293E-4</v>
      </c>
      <c r="K80" s="1"/>
      <c r="L80" s="1">
        <f t="shared" ref="L80:L82" si="64">+D80-H80</f>
        <v>-18</v>
      </c>
      <c r="M80" s="1"/>
      <c r="N80" s="5">
        <f t="shared" ref="N80:N82" si="65">IF(H80=0,0,L80/H80)</f>
        <v>-0.45</v>
      </c>
      <c r="O80" s="13"/>
      <c r="P80" s="1">
        <f>SUM(OSRRefP22_15x_0)</f>
        <v>953.87</v>
      </c>
      <c r="Q80" s="1"/>
      <c r="R80" s="5">
        <f t="shared" ref="R80:R82" si="66">IF(P$12=0,0,P80/P$12)</f>
        <v>0</v>
      </c>
      <c r="S80" s="1"/>
      <c r="T80" s="1">
        <f>SUM(OSRRefT22_15x_0)</f>
        <v>805</v>
      </c>
      <c r="U80" s="1"/>
      <c r="V80" s="5">
        <f t="shared" ref="V80:V82" si="67">IF(T$12=0,0,T80/T$12)</f>
        <v>3.7975818131212348E-3</v>
      </c>
      <c r="W80" s="1"/>
      <c r="X80" s="1">
        <f t="shared" ref="X80:X82" si="68">+P80-T80</f>
        <v>148.87</v>
      </c>
      <c r="Y80" s="1"/>
      <c r="Z80" s="5">
        <f t="shared" ref="Z80:Z82" si="69">IF(T80=0,0,X80/T80)</f>
        <v>0.18493167701863356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8.5267847626356293E-4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355</v>
      </c>
      <c r="U81" s="2"/>
      <c r="V81" s="6">
        <f t="shared" si="67"/>
        <v>1.6747099921217868E-3</v>
      </c>
      <c r="W81" s="2"/>
      <c r="X81" s="7">
        <f t="shared" si="68"/>
        <v>-355</v>
      </c>
      <c r="Y81" s="2"/>
      <c r="Z81" s="6">
        <f t="shared" si="69"/>
        <v>-1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7">
        <v>22</v>
      </c>
      <c r="E82" s="2"/>
      <c r="F82" s="6">
        <f t="shared" si="62"/>
        <v>0</v>
      </c>
      <c r="G82" s="2"/>
      <c r="H82" s="7"/>
      <c r="I82" s="2"/>
      <c r="J82" s="6">
        <f t="shared" si="63"/>
        <v>0</v>
      </c>
      <c r="K82" s="2"/>
      <c r="L82" s="7">
        <f t="shared" si="64"/>
        <v>22</v>
      </c>
      <c r="M82" s="2"/>
      <c r="N82" s="6">
        <f t="shared" si="65"/>
        <v>0</v>
      </c>
      <c r="O82" s="11"/>
      <c r="P82" s="7">
        <v>953.87</v>
      </c>
      <c r="Q82" s="2"/>
      <c r="R82" s="6">
        <f t="shared" si="66"/>
        <v>0</v>
      </c>
      <c r="S82" s="2"/>
      <c r="T82" s="7">
        <v>450</v>
      </c>
      <c r="U82" s="2"/>
      <c r="V82" s="6">
        <f t="shared" si="67"/>
        <v>2.1228718209994482E-3</v>
      </c>
      <c r="W82" s="2"/>
      <c r="X82" s="7">
        <f t="shared" si="68"/>
        <v>503.87</v>
      </c>
      <c r="Y82" s="2"/>
      <c r="Z82" s="6">
        <f t="shared" si="69"/>
        <v>1.1197111111111111</v>
      </c>
    </row>
    <row r="83" spans="1:26" s="25" customFormat="1" outlineLevel="1" collapsed="1" x14ac:dyDescent="0.25">
      <c r="A83" s="27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3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7.0762394033314939E-3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7.0762394033314939E-3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5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-939</v>
      </c>
      <c r="E85" s="1"/>
      <c r="F85" s="5">
        <f t="shared" si="70"/>
        <v>0</v>
      </c>
      <c r="G85" s="1"/>
      <c r="H85" s="1">
        <f>SUM(OSRRefH22_17x_0)</f>
        <v>800</v>
      </c>
      <c r="I85" s="1"/>
      <c r="J85" s="5">
        <f t="shared" si="71"/>
        <v>1.7053569525271258E-2</v>
      </c>
      <c r="K85" s="1"/>
      <c r="L85" s="1">
        <f t="shared" si="72"/>
        <v>-1739</v>
      </c>
      <c r="M85" s="1"/>
      <c r="N85" s="5">
        <f t="shared" si="73"/>
        <v>-2.1737500000000001</v>
      </c>
      <c r="O85" s="13"/>
      <c r="P85" s="1">
        <f>SUM(OSRRefP22_17x_0)</f>
        <v>3451</v>
      </c>
      <c r="Q85" s="1"/>
      <c r="R85" s="5">
        <f t="shared" si="74"/>
        <v>0</v>
      </c>
      <c r="S85" s="1"/>
      <c r="T85" s="1">
        <f>SUM(OSRRefT22_17x_0)</f>
        <v>7494</v>
      </c>
      <c r="U85" s="1"/>
      <c r="V85" s="5">
        <f t="shared" si="75"/>
        <v>3.5352892059044141E-2</v>
      </c>
      <c r="W85" s="1"/>
      <c r="X85" s="1">
        <f t="shared" si="76"/>
        <v>-4043</v>
      </c>
      <c r="Y85" s="1"/>
      <c r="Z85" s="5">
        <f t="shared" si="77"/>
        <v>-0.53949826527888978</v>
      </c>
    </row>
    <row r="86" spans="1:26" s="24" customFormat="1" hidden="1" outlineLevel="2" x14ac:dyDescent="0.25">
      <c r="A86" s="26"/>
      <c r="B86" s="11" t="str">
        <f>CONCATENATE("          ", "6274", " - ", "UTILITIES")</f>
        <v xml:space="preserve">          6274 - UTILITIES</v>
      </c>
      <c r="C86" s="11"/>
      <c r="D86" s="7">
        <v>-939</v>
      </c>
      <c r="E86" s="2"/>
      <c r="F86" s="6">
        <f t="shared" si="70"/>
        <v>0</v>
      </c>
      <c r="G86" s="2"/>
      <c r="H86" s="7">
        <v>800</v>
      </c>
      <c r="I86" s="2"/>
      <c r="J86" s="6">
        <f t="shared" si="71"/>
        <v>1.7053569525271258E-2</v>
      </c>
      <c r="K86" s="2"/>
      <c r="L86" s="7">
        <f t="shared" si="72"/>
        <v>-1739</v>
      </c>
      <c r="M86" s="2"/>
      <c r="N86" s="6">
        <f t="shared" si="73"/>
        <v>-2.1737500000000001</v>
      </c>
      <c r="O86" s="11"/>
      <c r="P86" s="7">
        <v>3451</v>
      </c>
      <c r="Q86" s="2"/>
      <c r="R86" s="6">
        <f t="shared" si="74"/>
        <v>0</v>
      </c>
      <c r="S86" s="2"/>
      <c r="T86" s="7">
        <v>7494</v>
      </c>
      <c r="U86" s="2"/>
      <c r="V86" s="6">
        <f t="shared" si="75"/>
        <v>3.5352892059044141E-2</v>
      </c>
      <c r="W86" s="2"/>
      <c r="X86" s="7">
        <f t="shared" si="76"/>
        <v>-4043</v>
      </c>
      <c r="Y86" s="2"/>
      <c r="Z86" s="6">
        <f t="shared" si="77"/>
        <v>-0.53949826527888978</v>
      </c>
    </row>
    <row r="87" spans="1:26" s="59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277</v>
      </c>
      <c r="C90" s="29"/>
      <c r="D90" s="20">
        <f>+D21-D23+D88</f>
        <v>-9128.02</v>
      </c>
      <c r="E90" s="14"/>
      <c r="F90" s="21">
        <f>IF(D$12=0,0,D90/D$12)</f>
        <v>0</v>
      </c>
      <c r="G90" s="14"/>
      <c r="H90" s="20">
        <f>+H21-H23+H88</f>
        <v>-4547.0847839999988</v>
      </c>
      <c r="I90" s="14"/>
      <c r="J90" s="21">
        <f>IF(H$12=0,0,H90/H$12)</f>
        <v>-9.6930033126558776E-2</v>
      </c>
      <c r="K90" s="16"/>
      <c r="L90" s="20">
        <f>+D90-H90</f>
        <v>-4580.9352160000017</v>
      </c>
      <c r="M90" s="16"/>
      <c r="N90" s="21">
        <f>IF(H90=0,0,L90/H90)</f>
        <v>1.007444425078484</v>
      </c>
      <c r="O90" s="28"/>
      <c r="P90" s="20">
        <f>+P21-P23+P88</f>
        <v>-111284.98000000001</v>
      </c>
      <c r="Q90" s="14"/>
      <c r="R90" s="21">
        <f>IF(P$12=0,0,P90/P$12)</f>
        <v>0</v>
      </c>
      <c r="S90" s="14"/>
      <c r="T90" s="20">
        <f>+T21-T23+T88</f>
        <v>-130519.19296800002</v>
      </c>
      <c r="U90" s="14"/>
      <c r="V90" s="21">
        <f>IF(T$12=0,0,T90/T$12)</f>
        <v>-0.61572337078079231</v>
      </c>
      <c r="W90" s="16"/>
      <c r="X90" s="20">
        <f>+P90-T90</f>
        <v>19234.212968000007</v>
      </c>
      <c r="Y90" s="16"/>
      <c r="Z90" s="21">
        <f>IF(T90=0,0,X90/T90)</f>
        <v>-0.14736693148812027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/>
      <c r="E92" s="4"/>
      <c r="F92" s="12">
        <f>IF(D$12=0,0,D92/D$12)</f>
        <v>0</v>
      </c>
      <c r="G92" s="4"/>
      <c r="H92" s="4">
        <v>9098</v>
      </c>
      <c r="I92" s="4"/>
      <c r="J92" s="12">
        <f>IF(H$12=0,0,H92/H$12)</f>
        <v>0.19394171942614738</v>
      </c>
      <c r="K92" s="4"/>
      <c r="L92" s="4">
        <f>+D92-H92</f>
        <v>-9098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37485</v>
      </c>
      <c r="U92" s="4"/>
      <c r="V92" s="12">
        <f>IF(T$12=0,0,T92/T$12)</f>
        <v>0.17683522268925403</v>
      </c>
      <c r="W92" s="4"/>
      <c r="X92" s="4">
        <f>+P92-T92</f>
        <v>-37485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126</v>
      </c>
      <c r="C94" s="29"/>
      <c r="D94" s="34">
        <f>+D90-D92</f>
        <v>-9128.02</v>
      </c>
      <c r="E94" s="14"/>
      <c r="F94" s="30">
        <f>IF(D$12=0,0,D94/D$12)</f>
        <v>0</v>
      </c>
      <c r="G94" s="14"/>
      <c r="H94" s="34">
        <f>+H90-H92</f>
        <v>-13645.084783999999</v>
      </c>
      <c r="I94" s="14"/>
      <c r="J94" s="30">
        <f>IF(H$12=0,0,H94/H$12)</f>
        <v>-0.29087175255270614</v>
      </c>
      <c r="K94" s="16"/>
      <c r="L94" s="34">
        <f>D94-H94</f>
        <v>4517.0647839999983</v>
      </c>
      <c r="M94" s="16"/>
      <c r="N94" s="30">
        <f>IF(H94=0,0,L94/H94)</f>
        <v>-0.33103970077904055</v>
      </c>
      <c r="O94" s="28"/>
      <c r="P94" s="34">
        <f>+P90-P92</f>
        <v>-111284.98000000001</v>
      </c>
      <c r="Q94" s="14"/>
      <c r="R94" s="30">
        <f>IF(P$12=0,0,P94/P$12)</f>
        <v>0</v>
      </c>
      <c r="S94" s="14"/>
      <c r="T94" s="34">
        <f>+T90-T92</f>
        <v>-168004.19296800002</v>
      </c>
      <c r="U94" s="14"/>
      <c r="V94" s="30">
        <f>IF(T$12=0,0,T94/T$12)</f>
        <v>-0.79255859347004631</v>
      </c>
      <c r="W94" s="16"/>
      <c r="X94" s="34">
        <f>P94-T94</f>
        <v>56719.212968000007</v>
      </c>
      <c r="Y94" s="16"/>
      <c r="Z94" s="30">
        <f>IF(T94=0,0,X94/T94)</f>
        <v>-0.33760593688755963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294</v>
      </c>
      <c r="C97" s="29"/>
      <c r="D97" s="31">
        <f>SUM(D94:D96)</f>
        <v>-9128.02</v>
      </c>
      <c r="E97" s="14"/>
      <c r="F97" s="35">
        <f>IF(D$12=0,0,D97/D$12)</f>
        <v>0</v>
      </c>
      <c r="G97" s="14"/>
      <c r="H97" s="31">
        <f>SUM(H94:H96)</f>
        <v>-13645.084783999999</v>
      </c>
      <c r="I97" s="14"/>
      <c r="J97" s="35">
        <f>IF(H$12=0,0,H97/H$12)</f>
        <v>-0.29087175255270614</v>
      </c>
      <c r="K97" s="16"/>
      <c r="L97" s="31">
        <f>+D97-H97</f>
        <v>4517.0647839999983</v>
      </c>
      <c r="M97" s="16"/>
      <c r="N97" s="35">
        <f>IF(H97=0,0,L97/H97)</f>
        <v>-0.33103970077904055</v>
      </c>
      <c r="O97" s="28"/>
      <c r="P97" s="31">
        <f>SUM(P94:P96)</f>
        <v>-111284.98000000001</v>
      </c>
      <c r="Q97" s="14"/>
      <c r="R97" s="35">
        <f>IF(P$12=0,0,P97/P$12)</f>
        <v>0</v>
      </c>
      <c r="S97" s="14"/>
      <c r="T97" s="31">
        <f>SUM(T94:T96)</f>
        <v>-168004.19296800002</v>
      </c>
      <c r="U97" s="14"/>
      <c r="V97" s="35">
        <f>IF(T$12=0,0,T97/T$12)</f>
        <v>-0.79255859347004631</v>
      </c>
      <c r="W97" s="16"/>
      <c r="X97" s="31">
        <f>+P97-T97</f>
        <v>56719.212968000007</v>
      </c>
      <c r="Y97" s="16"/>
      <c r="Z97" s="35">
        <f>IF(T97=0,0,X97/T97)</f>
        <v>-0.33760593688755963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6">
        <v>44295.961797766206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100.55</v>
      </c>
      <c r="E12" s="4"/>
      <c r="F12" s="12"/>
      <c r="G12" s="4"/>
      <c r="H12" s="4">
        <f>SUM(OSRRefH13x_0)</f>
        <v>843</v>
      </c>
      <c r="I12" s="4"/>
      <c r="J12" s="12"/>
      <c r="K12" s="4"/>
      <c r="L12" s="4">
        <f t="shared" ref="L12:L14" si="0">+D12-H12</f>
        <v>-742.45</v>
      </c>
      <c r="M12" s="4"/>
      <c r="N12" s="12">
        <f t="shared" ref="N12:N14" si="1">IF(H12=0,0,L12/H12)</f>
        <v>-0.88072360616844603</v>
      </c>
      <c r="O12" s="10"/>
      <c r="P12" s="4">
        <f>SUM(OSRRefP13x_0)</f>
        <v>344.55</v>
      </c>
      <c r="Q12" s="4"/>
      <c r="R12" s="12"/>
      <c r="S12" s="4"/>
      <c r="T12" s="4">
        <f>SUM(OSRRefT13x_0)</f>
        <v>3719</v>
      </c>
      <c r="U12" s="4"/>
      <c r="V12" s="12"/>
      <c r="W12" s="4"/>
      <c r="X12" s="4">
        <f t="shared" ref="X12:X14" si="2">+P12-T12</f>
        <v>-3374.45</v>
      </c>
      <c r="Y12" s="4"/>
      <c r="Z12" s="12">
        <f t="shared" ref="Z12:Z14" si="3">IF(T12=0,0,X12/T12)</f>
        <v>-0.90735412745361654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843</v>
      </c>
      <c r="I13" s="2"/>
      <c r="J13" s="19"/>
      <c r="K13" s="2"/>
      <c r="L13" s="2">
        <f t="shared" si="0"/>
        <v>-843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3719</v>
      </c>
      <c r="U13" s="2"/>
      <c r="V13" s="19"/>
      <c r="W13" s="2"/>
      <c r="X13" s="2">
        <f t="shared" si="2"/>
        <v>-3719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--100.55</f>
        <v>100.55</v>
      </c>
      <c r="E14" s="2"/>
      <c r="F14" s="19"/>
      <c r="G14" s="2"/>
      <c r="H14" s="2"/>
      <c r="I14" s="2"/>
      <c r="J14" s="19"/>
      <c r="K14" s="2"/>
      <c r="L14" s="2">
        <f t="shared" si="0"/>
        <v>100.55</v>
      </c>
      <c r="M14" s="2"/>
      <c r="N14" s="19">
        <f t="shared" si="1"/>
        <v>0</v>
      </c>
      <c r="O14" s="11"/>
      <c r="P14" s="2">
        <f>--344.55</f>
        <v>344.55</v>
      </c>
      <c r="Q14" s="2"/>
      <c r="R14" s="19"/>
      <c r="S14" s="2"/>
      <c r="T14" s="2"/>
      <c r="U14" s="2"/>
      <c r="V14" s="19"/>
      <c r="W14" s="2"/>
      <c r="X14" s="2">
        <f t="shared" si="2"/>
        <v>344.55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19</v>
      </c>
      <c r="E16" s="4"/>
      <c r="F16" s="12">
        <f t="shared" ref="F16:F18" si="4">IF(D$12=0,0,D16/D$12)</f>
        <v>0.18896071606166087</v>
      </c>
      <c r="G16" s="4"/>
      <c r="H16" s="4">
        <f>SUM(OSRRefH16x_0)</f>
        <v>422</v>
      </c>
      <c r="I16" s="4"/>
      <c r="J16" s="12">
        <f t="shared" ref="J16:J18" si="5">IF(H$12=0,0,H16/H$12)</f>
        <v>0.50059311981020171</v>
      </c>
      <c r="K16" s="4"/>
      <c r="L16" s="4">
        <f t="shared" ref="L16:L18" si="6">+D16-H16</f>
        <v>-403</v>
      </c>
      <c r="M16" s="4"/>
      <c r="N16" s="12">
        <f t="shared" ref="N16:N18" si="7">IF(H16=0,0,L16/H16)</f>
        <v>-0.95497630331753558</v>
      </c>
      <c r="O16" s="10"/>
      <c r="P16" s="4">
        <f>SUM(OSRRefP16x_0)</f>
        <v>-342.09</v>
      </c>
      <c r="Q16" s="4"/>
      <c r="R16" s="12">
        <f t="shared" ref="R16:R18" si="8">IF(P$12=0,0,P16/P$12)</f>
        <v>-0.99286025250326504</v>
      </c>
      <c r="S16" s="4"/>
      <c r="T16" s="4">
        <f>SUM(OSRRefT16x_0)</f>
        <v>1861</v>
      </c>
      <c r="U16" s="4"/>
      <c r="V16" s="12">
        <f t="shared" ref="V16:V18" si="9">IF(T$12=0,0,T16/T$12)</f>
        <v>0.50040333422963157</v>
      </c>
      <c r="W16" s="4"/>
      <c r="X16" s="4">
        <f t="shared" ref="X16:X18" si="10">+P16-T16</f>
        <v>-2203.09</v>
      </c>
      <c r="Y16" s="4"/>
      <c r="Z16" s="12">
        <f t="shared" ref="Z16:Z18" si="11">IF(T16=0,0,X16/T16)</f>
        <v>-1.183820526598603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422</v>
      </c>
      <c r="I17" s="2"/>
      <c r="J17" s="19">
        <f t="shared" si="5"/>
        <v>0.50059311981020171</v>
      </c>
      <c r="K17" s="2"/>
      <c r="L17" s="2">
        <f t="shared" si="6"/>
        <v>-422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1861</v>
      </c>
      <c r="U17" s="2"/>
      <c r="V17" s="19">
        <f t="shared" si="9"/>
        <v>0.50040333422963157</v>
      </c>
      <c r="W17" s="2"/>
      <c r="X17" s="2">
        <f t="shared" si="10"/>
        <v>-1861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19</v>
      </c>
      <c r="E18" s="2"/>
      <c r="F18" s="19">
        <f t="shared" si="4"/>
        <v>0.18896071606166087</v>
      </c>
      <c r="G18" s="2"/>
      <c r="H18" s="2"/>
      <c r="I18" s="2"/>
      <c r="J18" s="19">
        <f t="shared" si="5"/>
        <v>0</v>
      </c>
      <c r="K18" s="2"/>
      <c r="L18" s="2">
        <f t="shared" si="6"/>
        <v>19</v>
      </c>
      <c r="M18" s="2"/>
      <c r="N18" s="19">
        <f t="shared" si="7"/>
        <v>0</v>
      </c>
      <c r="O18" s="11"/>
      <c r="P18" s="2">
        <v>-342.09</v>
      </c>
      <c r="Q18" s="2"/>
      <c r="R18" s="19">
        <f t="shared" si="8"/>
        <v>-0.99286025250326504</v>
      </c>
      <c r="S18" s="2"/>
      <c r="T18" s="2"/>
      <c r="U18" s="2"/>
      <c r="V18" s="19">
        <f t="shared" si="9"/>
        <v>0</v>
      </c>
      <c r="W18" s="2"/>
      <c r="X18" s="2">
        <f t="shared" si="10"/>
        <v>-342.09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108</v>
      </c>
      <c r="C20" s="29"/>
      <c r="D20" s="20">
        <f>D12-D16</f>
        <v>81.55</v>
      </c>
      <c r="E20" s="14"/>
      <c r="F20" s="21">
        <f>IF(D$12=0,0,D20/D$12)</f>
        <v>0.81103928393833913</v>
      </c>
      <c r="G20" s="14"/>
      <c r="H20" s="20">
        <f>H12-H16</f>
        <v>421</v>
      </c>
      <c r="I20" s="14"/>
      <c r="J20" s="21">
        <f>IF(H$12=0,0,H20/H$12)</f>
        <v>0.49940688018979834</v>
      </c>
      <c r="K20" s="16"/>
      <c r="L20" s="20">
        <f>+D20-H20</f>
        <v>-339.45</v>
      </c>
      <c r="M20" s="16"/>
      <c r="N20" s="21">
        <f>IF(H20=0,0,L20/H20)</f>
        <v>-0.80629453681710206</v>
      </c>
      <c r="O20" s="28"/>
      <c r="P20" s="20">
        <f>P12-P16</f>
        <v>686.64</v>
      </c>
      <c r="Q20" s="14"/>
      <c r="R20" s="21">
        <f>IF(P$12=0,0,P20/P$12)</f>
        <v>1.992860252503265</v>
      </c>
      <c r="S20" s="14"/>
      <c r="T20" s="20">
        <f>T12-T16</f>
        <v>1858</v>
      </c>
      <c r="U20" s="14"/>
      <c r="V20" s="21">
        <f>IF(T$12=0,0,T20/T$12)</f>
        <v>0.49959666577036838</v>
      </c>
      <c r="W20" s="16"/>
      <c r="X20" s="20">
        <f>+P20-T20</f>
        <v>-1171.3600000000001</v>
      </c>
      <c r="Y20" s="16"/>
      <c r="Z20" s="21">
        <f>IF(T20=0,0,X20/T20)</f>
        <v>-0.63044133476856845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295</v>
      </c>
      <c r="C22" s="10"/>
      <c r="D22" s="22">
        <f>SUM(OSRRefD22x_0)</f>
        <v>0</v>
      </c>
      <c r="E22" s="22"/>
      <c r="F22" s="32">
        <f t="shared" ref="F22:F24" si="12">IF(D$12=0,0,D22/D$12)</f>
        <v>0</v>
      </c>
      <c r="G22" s="22"/>
      <c r="H22" s="22">
        <f>SUM(OSRRefH22x_0)</f>
        <v>73</v>
      </c>
      <c r="I22" s="22"/>
      <c r="J22" s="32">
        <f t="shared" ref="J22:J24" si="13">IF(H$12=0,0,H22/H$12)</f>
        <v>8.6595492289442466E-2</v>
      </c>
      <c r="K22" s="4"/>
      <c r="L22" s="22">
        <f t="shared" ref="L22:L24" si="14">+D22-H22</f>
        <v>-73</v>
      </c>
      <c r="M22" s="4"/>
      <c r="N22" s="32">
        <f t="shared" ref="N22:N24" si="15">IF(H22=0,0,L22/H22)</f>
        <v>-1</v>
      </c>
      <c r="O22" s="10"/>
      <c r="P22" s="22">
        <f>SUM(OSRRefP22x_0)</f>
        <v>0</v>
      </c>
      <c r="Q22" s="22"/>
      <c r="R22" s="32">
        <f t="shared" ref="R22:R24" si="16">IF(P$12=0,0,P22/P$12)</f>
        <v>0</v>
      </c>
      <c r="S22" s="22"/>
      <c r="T22" s="22">
        <f>SUM(OSRRefT22x_0)</f>
        <v>324</v>
      </c>
      <c r="U22" s="22"/>
      <c r="V22" s="32">
        <f t="shared" ref="V22:V24" si="17">IF(T$12=0,0,T22/T$12)</f>
        <v>8.7120193600430218E-2</v>
      </c>
      <c r="W22" s="4"/>
      <c r="X22" s="22">
        <f t="shared" ref="X22:X24" si="18">+P22-T22</f>
        <v>-324</v>
      </c>
      <c r="Y22" s="4"/>
      <c r="Z22" s="32">
        <f t="shared" ref="Z22:Z24" si="19">IF(T22=0,0,X22/T22)</f>
        <v>-1</v>
      </c>
    </row>
    <row r="23" spans="1:26" s="25" customFormat="1" outlineLevel="1" collapsed="1" x14ac:dyDescent="0.25">
      <c r="A23" s="27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0</v>
      </c>
      <c r="E23" s="1"/>
      <c r="F23" s="5">
        <f t="shared" si="12"/>
        <v>0</v>
      </c>
      <c r="G23" s="1"/>
      <c r="H23" s="1">
        <f>SUM(OSRRefH22_0x_0)</f>
        <v>73</v>
      </c>
      <c r="I23" s="1"/>
      <c r="J23" s="5">
        <f t="shared" si="13"/>
        <v>8.6595492289442466E-2</v>
      </c>
      <c r="K23" s="1"/>
      <c r="L23" s="1">
        <f t="shared" si="14"/>
        <v>-73</v>
      </c>
      <c r="M23" s="1"/>
      <c r="N23" s="5">
        <f t="shared" si="15"/>
        <v>-1</v>
      </c>
      <c r="O23" s="13"/>
      <c r="P23" s="1">
        <f>SUM(OSRRefP22_0x_0)</f>
        <v>0</v>
      </c>
      <c r="Q23" s="1"/>
      <c r="R23" s="5">
        <f t="shared" si="16"/>
        <v>0</v>
      </c>
      <c r="S23" s="1"/>
      <c r="T23" s="1">
        <f>SUM(OSRRefT22_0x_0)</f>
        <v>324</v>
      </c>
      <c r="U23" s="1"/>
      <c r="V23" s="5">
        <f t="shared" si="17"/>
        <v>8.7120193600430218E-2</v>
      </c>
      <c r="W23" s="1"/>
      <c r="X23" s="1">
        <f t="shared" si="18"/>
        <v>-324</v>
      </c>
      <c r="Y23" s="1"/>
      <c r="Z23" s="5">
        <f t="shared" si="19"/>
        <v>-1</v>
      </c>
    </row>
    <row r="24" spans="1:26" s="24" customFormat="1" hidden="1" outlineLevel="2" x14ac:dyDescent="0.25">
      <c r="A24" s="26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2"/>
        <v>0</v>
      </c>
      <c r="G24" s="2"/>
      <c r="H24" s="7">
        <v>73</v>
      </c>
      <c r="I24" s="2"/>
      <c r="J24" s="6">
        <f t="shared" si="13"/>
        <v>8.6595492289442466E-2</v>
      </c>
      <c r="K24" s="2"/>
      <c r="L24" s="7">
        <f t="shared" si="14"/>
        <v>-73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324</v>
      </c>
      <c r="U24" s="2"/>
      <c r="V24" s="6">
        <f t="shared" si="17"/>
        <v>8.7120193600430218E-2</v>
      </c>
      <c r="W24" s="2"/>
      <c r="X24" s="7">
        <f t="shared" si="18"/>
        <v>-324</v>
      </c>
      <c r="Y24" s="2"/>
      <c r="Z24" s="6">
        <f t="shared" si="19"/>
        <v>-1</v>
      </c>
    </row>
    <row r="25" spans="1:26" s="59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277</v>
      </c>
      <c r="C28" s="29"/>
      <c r="D28" s="20">
        <f>+D20-D22+D26</f>
        <v>81.55</v>
      </c>
      <c r="E28" s="14"/>
      <c r="F28" s="21">
        <f>IF(D$12=0,0,D28/D$12)</f>
        <v>0.81103928393833913</v>
      </c>
      <c r="G28" s="14"/>
      <c r="H28" s="20">
        <f>+H20-H22+H26</f>
        <v>348</v>
      </c>
      <c r="I28" s="14"/>
      <c r="J28" s="21">
        <f>IF(H$12=0,0,H28/H$12)</f>
        <v>0.41281138790035588</v>
      </c>
      <c r="K28" s="16"/>
      <c r="L28" s="20">
        <f>+D28-H28</f>
        <v>-266.45</v>
      </c>
      <c r="M28" s="16"/>
      <c r="N28" s="21">
        <f>IF(H28=0,0,L28/H28)</f>
        <v>-0.76566091954022986</v>
      </c>
      <c r="O28" s="28"/>
      <c r="P28" s="20">
        <f>+P20-P22+P26</f>
        <v>686.64</v>
      </c>
      <c r="Q28" s="14"/>
      <c r="R28" s="21">
        <f>IF(P$12=0,0,P28/P$12)</f>
        <v>1.992860252503265</v>
      </c>
      <c r="S28" s="14"/>
      <c r="T28" s="20">
        <f>+T20-T22+T26</f>
        <v>1534</v>
      </c>
      <c r="U28" s="14"/>
      <c r="V28" s="21">
        <f>IF(T$12=0,0,T28/T$12)</f>
        <v>0.41247647216993816</v>
      </c>
      <c r="W28" s="16"/>
      <c r="X28" s="20">
        <f>+P28-T28</f>
        <v>-847.36</v>
      </c>
      <c r="Y28" s="16"/>
      <c r="Z28" s="21">
        <f>IF(T28=0,0,X28/T28)</f>
        <v>-0.55238591916558022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>
        <v>22.69</v>
      </c>
      <c r="E30" s="4"/>
      <c r="F30" s="12">
        <f>IF(D$12=0,0,D30/D$12)</f>
        <v>0.2256588761810045</v>
      </c>
      <c r="G30" s="4"/>
      <c r="H30" s="4">
        <v>163</v>
      </c>
      <c r="I30" s="4"/>
      <c r="J30" s="12">
        <f>IF(H$12=0,0,H30/H$12)</f>
        <v>0.19335705812574139</v>
      </c>
      <c r="K30" s="4"/>
      <c r="L30" s="4">
        <f>+D30-H30</f>
        <v>-140.31</v>
      </c>
      <c r="M30" s="4"/>
      <c r="N30" s="12">
        <f>IF(H30=0,0,L30/H30)</f>
        <v>-0.86079754601226999</v>
      </c>
      <c r="O30" s="10"/>
      <c r="P30" s="4">
        <v>71.010000000000005</v>
      </c>
      <c r="Q30" s="4"/>
      <c r="R30" s="12">
        <f>IF(P$12=0,0,P30/P$12)</f>
        <v>0.20609490639965172</v>
      </c>
      <c r="S30" s="4"/>
      <c r="T30" s="4">
        <v>657</v>
      </c>
      <c r="U30" s="4"/>
      <c r="V30" s="12">
        <f>IF(T$12=0,0,T30/T$12)</f>
        <v>0.17666039257865018</v>
      </c>
      <c r="W30" s="4"/>
      <c r="X30" s="4">
        <f>+P30-T30</f>
        <v>-585.99</v>
      </c>
      <c r="Y30" s="4"/>
      <c r="Z30" s="12">
        <f>IF(T30=0,0,X30/T30)</f>
        <v>-0.8919178082191781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126</v>
      </c>
      <c r="C32" s="29"/>
      <c r="D32" s="34">
        <f>+D28-D30</f>
        <v>58.86</v>
      </c>
      <c r="E32" s="14"/>
      <c r="F32" s="30">
        <f>IF(D$12=0,0,D32/D$12)</f>
        <v>0.58538040775733469</v>
      </c>
      <c r="G32" s="14"/>
      <c r="H32" s="34">
        <f>+H28-H30</f>
        <v>185</v>
      </c>
      <c r="I32" s="14"/>
      <c r="J32" s="30">
        <f>IF(H$12=0,0,H32/H$12)</f>
        <v>0.21945432977461446</v>
      </c>
      <c r="K32" s="16"/>
      <c r="L32" s="34">
        <f>D32-H32</f>
        <v>-126.14</v>
      </c>
      <c r="M32" s="16"/>
      <c r="N32" s="30">
        <f>IF(H32=0,0,L32/H32)</f>
        <v>-0.6818378378378378</v>
      </c>
      <c r="O32" s="28"/>
      <c r="P32" s="34">
        <f>+P28-P30</f>
        <v>615.63</v>
      </c>
      <c r="Q32" s="14"/>
      <c r="R32" s="30">
        <f>IF(P$12=0,0,P32/P$12)</f>
        <v>1.7867653461036133</v>
      </c>
      <c r="S32" s="14"/>
      <c r="T32" s="34">
        <f>+T28-T30</f>
        <v>877</v>
      </c>
      <c r="U32" s="14"/>
      <c r="V32" s="30">
        <f>IF(T$12=0,0,T32/T$12)</f>
        <v>0.23581607959128797</v>
      </c>
      <c r="W32" s="16"/>
      <c r="X32" s="34">
        <f>P32-T32</f>
        <v>-261.37</v>
      </c>
      <c r="Y32" s="16"/>
      <c r="Z32" s="30">
        <f>IF(T32=0,0,X32/T32)</f>
        <v>-0.29802736602052454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294</v>
      </c>
      <c r="C35" s="29"/>
      <c r="D35" s="31">
        <f>SUM(D32:D34)</f>
        <v>58.86</v>
      </c>
      <c r="E35" s="14"/>
      <c r="F35" s="35">
        <f>IF(D$12=0,0,D35/D$12)</f>
        <v>0.58538040775733469</v>
      </c>
      <c r="G35" s="14"/>
      <c r="H35" s="31">
        <f>SUM(H32:H34)</f>
        <v>185</v>
      </c>
      <c r="I35" s="14"/>
      <c r="J35" s="35">
        <f>IF(H$12=0,0,H35/H$12)</f>
        <v>0.21945432977461446</v>
      </c>
      <c r="K35" s="16"/>
      <c r="L35" s="31">
        <f>+D35-H35</f>
        <v>-126.14</v>
      </c>
      <c r="M35" s="16"/>
      <c r="N35" s="35">
        <f>IF(H35=0,0,L35/H35)</f>
        <v>-0.6818378378378378</v>
      </c>
      <c r="O35" s="28"/>
      <c r="P35" s="31">
        <f>SUM(P32:P34)</f>
        <v>615.63</v>
      </c>
      <c r="Q35" s="14"/>
      <c r="R35" s="35">
        <f>IF(P$12=0,0,P35/P$12)</f>
        <v>1.7867653461036133</v>
      </c>
      <c r="S35" s="14"/>
      <c r="T35" s="31">
        <f>SUM(T32:T34)</f>
        <v>877</v>
      </c>
      <c r="U35" s="14"/>
      <c r="V35" s="35">
        <f>IF(T$12=0,0,T35/T$12)</f>
        <v>0.23581607959128797</v>
      </c>
      <c r="W35" s="16"/>
      <c r="X35" s="31">
        <f>+P35-T35</f>
        <v>-261.37</v>
      </c>
      <c r="Y35" s="16"/>
      <c r="Z35" s="35">
        <f>IF(T35=0,0,X35/T35)</f>
        <v>-0.29802736602052454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6">
        <v>44295.961797766206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85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149061.23000000001</v>
      </c>
      <c r="E12" s="4"/>
      <c r="F12" s="12"/>
      <c r="G12" s="4"/>
      <c r="H12" s="4">
        <f>SUM(OSRRefH13x_0)</f>
        <v>532120</v>
      </c>
      <c r="I12" s="4"/>
      <c r="J12" s="12"/>
      <c r="K12" s="4"/>
      <c r="L12" s="4">
        <f t="shared" ref="L12:L20" si="0">+D12-H12</f>
        <v>-383058.77</v>
      </c>
      <c r="M12" s="4"/>
      <c r="N12" s="12">
        <f t="shared" ref="N12:N20" si="1">IF(H12=0,0,L12/H12)</f>
        <v>-0.71987290460798314</v>
      </c>
      <c r="O12" s="10"/>
      <c r="P12" s="4">
        <f>SUM(OSRRefP13x_0)</f>
        <v>1234723.01</v>
      </c>
      <c r="Q12" s="4"/>
      <c r="R12" s="12"/>
      <c r="S12" s="4"/>
      <c r="T12" s="4">
        <f>SUM(OSRRefT13x_0)</f>
        <v>3340763</v>
      </c>
      <c r="U12" s="4"/>
      <c r="V12" s="12"/>
      <c r="W12" s="4"/>
      <c r="X12" s="4">
        <f t="shared" ref="X12:X20" si="2">+P12-T12</f>
        <v>-2106039.9900000002</v>
      </c>
      <c r="Y12" s="4"/>
      <c r="Z12" s="12">
        <f t="shared" ref="Z12:Z20" si="3">IF(T12=0,0,X12/T12)</f>
        <v>-0.63040688309826232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9611</v>
      </c>
      <c r="I13" s="2"/>
      <c r="J13" s="19"/>
      <c r="K13" s="2"/>
      <c r="L13" s="2">
        <f t="shared" si="0"/>
        <v>-9611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60417</v>
      </c>
      <c r="U13" s="2"/>
      <c r="V13" s="19"/>
      <c r="W13" s="2"/>
      <c r="X13" s="2">
        <f t="shared" si="2"/>
        <v>-60417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--2604.58</f>
        <v>2604.58</v>
      </c>
      <c r="E14" s="2"/>
      <c r="F14" s="19"/>
      <c r="G14" s="2"/>
      <c r="H14" s="2"/>
      <c r="I14" s="2"/>
      <c r="J14" s="19"/>
      <c r="K14" s="2"/>
      <c r="L14" s="2">
        <f t="shared" si="0"/>
        <v>2604.58</v>
      </c>
      <c r="M14" s="2"/>
      <c r="N14" s="19">
        <f t="shared" si="1"/>
        <v>0</v>
      </c>
      <c r="O14" s="11"/>
      <c r="P14" s="2">
        <f>--25569.06</f>
        <v>25569.06</v>
      </c>
      <c r="Q14" s="2"/>
      <c r="R14" s="19"/>
      <c r="S14" s="2"/>
      <c r="T14" s="2"/>
      <c r="U14" s="2"/>
      <c r="V14" s="19"/>
      <c r="W14" s="2"/>
      <c r="X14" s="2">
        <f t="shared" si="2"/>
        <v>25569.06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--51782.31</f>
        <v>51782.31</v>
      </c>
      <c r="E15" s="2"/>
      <c r="F15" s="19"/>
      <c r="G15" s="2"/>
      <c r="H15" s="2"/>
      <c r="I15" s="2"/>
      <c r="J15" s="19"/>
      <c r="K15" s="2"/>
      <c r="L15" s="2">
        <f t="shared" si="0"/>
        <v>51782.31</v>
      </c>
      <c r="M15" s="2"/>
      <c r="N15" s="19">
        <f t="shared" si="1"/>
        <v>0</v>
      </c>
      <c r="O15" s="11"/>
      <c r="P15" s="2">
        <f>--331940.11</f>
        <v>331940.11</v>
      </c>
      <c r="Q15" s="2"/>
      <c r="R15" s="19"/>
      <c r="S15" s="2"/>
      <c r="T15" s="2"/>
      <c r="U15" s="2"/>
      <c r="V15" s="19"/>
      <c r="W15" s="2"/>
      <c r="X15" s="2">
        <f t="shared" si="2"/>
        <v>331940.11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--163.51</f>
        <v>163.51</v>
      </c>
      <c r="E16" s="2"/>
      <c r="F16" s="19"/>
      <c r="G16" s="2"/>
      <c r="H16" s="2"/>
      <c r="I16" s="2"/>
      <c r="J16" s="19"/>
      <c r="K16" s="2"/>
      <c r="L16" s="2">
        <f t="shared" si="0"/>
        <v>163.51</v>
      </c>
      <c r="M16" s="2"/>
      <c r="N16" s="19">
        <f t="shared" si="1"/>
        <v>0</v>
      </c>
      <c r="O16" s="11"/>
      <c r="P16" s="2">
        <f>--923.72</f>
        <v>923.72</v>
      </c>
      <c r="Q16" s="2"/>
      <c r="R16" s="19"/>
      <c r="S16" s="2"/>
      <c r="T16" s="2"/>
      <c r="U16" s="2"/>
      <c r="V16" s="19"/>
      <c r="W16" s="2"/>
      <c r="X16" s="2">
        <f t="shared" si="2"/>
        <v>923.72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--974.91</f>
        <v>974.91</v>
      </c>
      <c r="Q17" s="2"/>
      <c r="R17" s="19"/>
      <c r="S17" s="2"/>
      <c r="T17" s="2"/>
      <c r="U17" s="2"/>
      <c r="V17" s="19"/>
      <c r="W17" s="2"/>
      <c r="X17" s="2">
        <f t="shared" si="2"/>
        <v>974.91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19"/>
      <c r="G18" s="2"/>
      <c r="H18" s="2">
        <v>522509</v>
      </c>
      <c r="I18" s="2"/>
      <c r="J18" s="19"/>
      <c r="K18" s="2"/>
      <c r="L18" s="2">
        <f t="shared" si="0"/>
        <v>-522509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3280346</v>
      </c>
      <c r="U18" s="2"/>
      <c r="V18" s="19"/>
      <c r="W18" s="2"/>
      <c r="X18" s="2">
        <f t="shared" si="2"/>
        <v>-3280346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--89340.04</f>
        <v>89340.04</v>
      </c>
      <c r="E19" s="2"/>
      <c r="F19" s="19"/>
      <c r="G19" s="2"/>
      <c r="H19" s="2"/>
      <c r="I19" s="2"/>
      <c r="J19" s="19"/>
      <c r="K19" s="2"/>
      <c r="L19" s="2">
        <f t="shared" si="0"/>
        <v>89340.04</v>
      </c>
      <c r="M19" s="2"/>
      <c r="N19" s="19">
        <f t="shared" si="1"/>
        <v>0</v>
      </c>
      <c r="O19" s="11"/>
      <c r="P19" s="2">
        <f>--832309.85</f>
        <v>832309.85</v>
      </c>
      <c r="Q19" s="2"/>
      <c r="R19" s="19"/>
      <c r="S19" s="2"/>
      <c r="T19" s="2"/>
      <c r="U19" s="2"/>
      <c r="V19" s="19"/>
      <c r="W19" s="2"/>
      <c r="X19" s="2">
        <f t="shared" si="2"/>
        <v>832309.85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--5170.79</f>
        <v>5170.79</v>
      </c>
      <c r="E20" s="2"/>
      <c r="F20" s="19"/>
      <c r="G20" s="2"/>
      <c r="H20" s="2"/>
      <c r="I20" s="2"/>
      <c r="J20" s="19"/>
      <c r="K20" s="2"/>
      <c r="L20" s="2">
        <f t="shared" si="0"/>
        <v>5170.79</v>
      </c>
      <c r="M20" s="2"/>
      <c r="N20" s="19">
        <f t="shared" si="1"/>
        <v>0</v>
      </c>
      <c r="O20" s="11"/>
      <c r="P20" s="2">
        <f>--43005.36</f>
        <v>43005.36</v>
      </c>
      <c r="Q20" s="2"/>
      <c r="R20" s="19"/>
      <c r="S20" s="2"/>
      <c r="T20" s="2"/>
      <c r="U20" s="2"/>
      <c r="V20" s="19"/>
      <c r="W20" s="2"/>
      <c r="X20" s="2">
        <f t="shared" si="2"/>
        <v>43005.36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8" t="s">
        <v>257</v>
      </c>
      <c r="C22" s="10"/>
      <c r="D22" s="4">
        <f>SUM(OSRRefD16x_0)</f>
        <v>37683.75</v>
      </c>
      <c r="E22" s="4"/>
      <c r="F22" s="12">
        <f t="shared" ref="F22:F25" si="5">IF(D$12=0,0,D22/D$12)</f>
        <v>0.25280718534256019</v>
      </c>
      <c r="G22" s="4"/>
      <c r="H22" s="4">
        <f>SUM(OSRRefH16x_0)</f>
        <v>142701</v>
      </c>
      <c r="I22" s="4"/>
      <c r="J22" s="12">
        <f t="shared" ref="J22:J25" si="6">IF(H$12=0,0,H22/H$12)</f>
        <v>0.26817447192362626</v>
      </c>
      <c r="K22" s="4"/>
      <c r="L22" s="4">
        <f t="shared" ref="L22:L25" si="7">+D22-H22</f>
        <v>-105017.25</v>
      </c>
      <c r="M22" s="4"/>
      <c r="N22" s="12">
        <f t="shared" ref="N22:N25" si="8">IF(H22=0,0,L22/H22)</f>
        <v>-0.73592511615195411</v>
      </c>
      <c r="O22" s="10"/>
      <c r="P22" s="4">
        <f>SUM(OSRRefP16x_0)</f>
        <v>378627.32</v>
      </c>
      <c r="Q22" s="4"/>
      <c r="R22" s="12">
        <f t="shared" ref="R22:R25" si="9">IF(P$12=0,0,P22/P$12)</f>
        <v>0.30664960232659794</v>
      </c>
      <c r="S22" s="4"/>
      <c r="T22" s="4">
        <f>SUM(OSRRefT16x_0)</f>
        <v>912495</v>
      </c>
      <c r="U22" s="4"/>
      <c r="V22" s="12">
        <f t="shared" ref="V22:V25" si="10">IF(T$12=0,0,T22/T$12)</f>
        <v>0.2731396989250659</v>
      </c>
      <c r="W22" s="4"/>
      <c r="X22" s="4">
        <f t="shared" ref="X22:X25" si="11">+P22-T22</f>
        <v>-533867.67999999993</v>
      </c>
      <c r="Y22" s="4"/>
      <c r="Z22" s="12">
        <f t="shared" ref="Z22:Z25" si="12">IF(T22=0,0,X22/T22)</f>
        <v>-0.58506367706124407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5"/>
        <v>0</v>
      </c>
      <c r="G23" s="2"/>
      <c r="H23" s="2">
        <v>142701</v>
      </c>
      <c r="I23" s="2"/>
      <c r="J23" s="19">
        <f t="shared" si="6"/>
        <v>0.26817447192362626</v>
      </c>
      <c r="K23" s="2"/>
      <c r="L23" s="2">
        <f t="shared" si="7"/>
        <v>-142701</v>
      </c>
      <c r="M23" s="2"/>
      <c r="N23" s="19">
        <f t="shared" si="8"/>
        <v>-1</v>
      </c>
      <c r="O23" s="11"/>
      <c r="P23" s="2"/>
      <c r="Q23" s="2"/>
      <c r="R23" s="19">
        <f t="shared" si="9"/>
        <v>0</v>
      </c>
      <c r="S23" s="2"/>
      <c r="T23" s="2">
        <v>912495</v>
      </c>
      <c r="U23" s="2"/>
      <c r="V23" s="19">
        <f t="shared" si="10"/>
        <v>0.2731396989250659</v>
      </c>
      <c r="W23" s="2"/>
      <c r="X23" s="2">
        <f t="shared" si="11"/>
        <v>-912495</v>
      </c>
      <c r="Y23" s="2"/>
      <c r="Z23" s="19">
        <f t="shared" si="12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32547.75</v>
      </c>
      <c r="E24" s="2"/>
      <c r="F24" s="19">
        <f t="shared" si="5"/>
        <v>0.21835154587145161</v>
      </c>
      <c r="G24" s="2"/>
      <c r="H24" s="2"/>
      <c r="I24" s="2"/>
      <c r="J24" s="19">
        <f t="shared" si="6"/>
        <v>0</v>
      </c>
      <c r="K24" s="2"/>
      <c r="L24" s="2">
        <f t="shared" si="7"/>
        <v>32547.75</v>
      </c>
      <c r="M24" s="2"/>
      <c r="N24" s="19">
        <f t="shared" si="8"/>
        <v>0</v>
      </c>
      <c r="O24" s="11"/>
      <c r="P24" s="2">
        <v>377651.94</v>
      </c>
      <c r="Q24" s="2"/>
      <c r="R24" s="19">
        <f t="shared" si="9"/>
        <v>0.30585964377548935</v>
      </c>
      <c r="S24" s="2"/>
      <c r="T24" s="2"/>
      <c r="U24" s="2"/>
      <c r="V24" s="19">
        <f t="shared" si="10"/>
        <v>0</v>
      </c>
      <c r="W24" s="2"/>
      <c r="X24" s="2">
        <f t="shared" si="11"/>
        <v>377651.94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5136</v>
      </c>
      <c r="E25" s="2"/>
      <c r="F25" s="19">
        <f t="shared" si="5"/>
        <v>3.4455639471108614E-2</v>
      </c>
      <c r="G25" s="2"/>
      <c r="H25" s="2"/>
      <c r="I25" s="2"/>
      <c r="J25" s="19">
        <f t="shared" si="6"/>
        <v>0</v>
      </c>
      <c r="K25" s="2"/>
      <c r="L25" s="2">
        <f t="shared" si="7"/>
        <v>5136</v>
      </c>
      <c r="M25" s="2"/>
      <c r="N25" s="19">
        <f t="shared" si="8"/>
        <v>0</v>
      </c>
      <c r="O25" s="11"/>
      <c r="P25" s="2">
        <v>975.38</v>
      </c>
      <c r="Q25" s="2"/>
      <c r="R25" s="19">
        <f t="shared" si="9"/>
        <v>7.8995855110855994E-4</v>
      </c>
      <c r="S25" s="2"/>
      <c r="T25" s="2"/>
      <c r="U25" s="2"/>
      <c r="V25" s="19">
        <f t="shared" si="10"/>
        <v>0</v>
      </c>
      <c r="W25" s="2"/>
      <c r="X25" s="2">
        <f t="shared" si="11"/>
        <v>975.38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108</v>
      </c>
      <c r="C27" s="29"/>
      <c r="D27" s="20">
        <f>D12-D22</f>
        <v>111377.48000000001</v>
      </c>
      <c r="E27" s="14"/>
      <c r="F27" s="21">
        <f>IF(D$12=0,0,D27/D$12)</f>
        <v>0.74719281465743981</v>
      </c>
      <c r="G27" s="14"/>
      <c r="H27" s="20">
        <f>H12-H22</f>
        <v>389419</v>
      </c>
      <c r="I27" s="14"/>
      <c r="J27" s="21">
        <f>IF(H$12=0,0,H27/H$12)</f>
        <v>0.7318255280763738</v>
      </c>
      <c r="K27" s="16"/>
      <c r="L27" s="20">
        <f>+D27-H27</f>
        <v>-278041.52</v>
      </c>
      <c r="M27" s="16"/>
      <c r="N27" s="21">
        <f>IF(H27=0,0,L27/H27)</f>
        <v>-0.71399063733407975</v>
      </c>
      <c r="O27" s="28"/>
      <c r="P27" s="20">
        <f>P12-P22</f>
        <v>856095.69</v>
      </c>
      <c r="Q27" s="14"/>
      <c r="R27" s="21">
        <f>IF(P$12=0,0,P27/P$12)</f>
        <v>0.69335039767340201</v>
      </c>
      <c r="S27" s="14"/>
      <c r="T27" s="20">
        <f>T12-T22</f>
        <v>2428268</v>
      </c>
      <c r="U27" s="14"/>
      <c r="V27" s="21">
        <f>IF(T$12=0,0,T27/T$12)</f>
        <v>0.72686030107493405</v>
      </c>
      <c r="W27" s="16"/>
      <c r="X27" s="20">
        <f>+P27-T27</f>
        <v>-1572172.31</v>
      </c>
      <c r="Y27" s="16"/>
      <c r="Z27" s="21">
        <f>IF(T27=0,0,X27/T27)</f>
        <v>-0.64744596148365829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295</v>
      </c>
      <c r="C29" s="10"/>
      <c r="D29" s="22">
        <f>SUM(OSRRefD22x_0)</f>
        <v>322124.89999999991</v>
      </c>
      <c r="E29" s="22"/>
      <c r="F29" s="32">
        <f t="shared" ref="F29:F40" si="13">IF(D$12=0,0,D29/D$12)</f>
        <v>2.1610240301921557</v>
      </c>
      <c r="G29" s="22"/>
      <c r="H29" s="22">
        <f>SUM(OSRRefH22x_0)</f>
        <v>479072.22568995564</v>
      </c>
      <c r="I29" s="22"/>
      <c r="J29" s="32">
        <f t="shared" ref="J29:J40" si="14">IF(H$12=0,0,H29/H$12)</f>
        <v>0.90030862529120426</v>
      </c>
      <c r="K29" s="4"/>
      <c r="L29" s="22">
        <f t="shared" ref="L29:L40" si="15">+D29-H29</f>
        <v>-156947.32568995573</v>
      </c>
      <c r="M29" s="4"/>
      <c r="N29" s="32">
        <f t="shared" ref="N29:N40" si="16">IF(H29=0,0,L29/H29)</f>
        <v>-0.32760681432517103</v>
      </c>
      <c r="O29" s="10"/>
      <c r="P29" s="22">
        <f>SUM(OSRRefP22x_0)</f>
        <v>3013750.7399999998</v>
      </c>
      <c r="Q29" s="22"/>
      <c r="R29" s="32">
        <f t="shared" ref="R29:R40" si="17">IF(P$12=0,0,P29/P$12)</f>
        <v>2.4408314379757123</v>
      </c>
      <c r="S29" s="22"/>
      <c r="T29" s="22">
        <f>SUM(OSRRefT22x_0)</f>
        <v>4276100.135563015</v>
      </c>
      <c r="U29" s="22"/>
      <c r="V29" s="32">
        <f t="shared" ref="V29:V40" si="18">IF(T$12=0,0,T29/T$12)</f>
        <v>1.2799770997113578</v>
      </c>
      <c r="W29" s="4"/>
      <c r="X29" s="22">
        <f t="shared" ref="X29:X40" si="19">+P29-T29</f>
        <v>-1262349.3955630152</v>
      </c>
      <c r="Y29" s="4"/>
      <c r="Z29" s="32">
        <f t="shared" ref="Z29:Z40" si="20">IF(T29=0,0,X29/T29)</f>
        <v>-0.29521043837688504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93868.53</v>
      </c>
      <c r="E30" s="1"/>
      <c r="F30" s="5">
        <f t="shared" si="13"/>
        <v>0.62973135267970082</v>
      </c>
      <c r="G30" s="1"/>
      <c r="H30" s="1">
        <f>SUM(OSRRefH22_0x_0)</f>
        <v>112410.65651085314</v>
      </c>
      <c r="I30" s="1"/>
      <c r="J30" s="5">
        <f t="shared" si="14"/>
        <v>0.21125057601829125</v>
      </c>
      <c r="K30" s="1"/>
      <c r="L30" s="1">
        <f t="shared" si="15"/>
        <v>-18542.126510853137</v>
      </c>
      <c r="M30" s="1"/>
      <c r="N30" s="5">
        <f t="shared" si="16"/>
        <v>-0.16494989964819673</v>
      </c>
      <c r="O30" s="13"/>
      <c r="P30" s="1">
        <f>SUM(OSRRefP22_0x_0)</f>
        <v>877216.54999999993</v>
      </c>
      <c r="Q30" s="1"/>
      <c r="R30" s="5">
        <f t="shared" si="17"/>
        <v>0.71045614513979127</v>
      </c>
      <c r="S30" s="1"/>
      <c r="T30" s="1">
        <f>SUM(OSRRefT22_0x_0)</f>
        <v>1057113.7869330151</v>
      </c>
      <c r="U30" s="1"/>
      <c r="V30" s="5">
        <f t="shared" si="18"/>
        <v>0.31642884782099628</v>
      </c>
      <c r="W30" s="1"/>
      <c r="X30" s="1">
        <f t="shared" si="19"/>
        <v>-179897.23693301517</v>
      </c>
      <c r="Y30" s="1"/>
      <c r="Z30" s="5">
        <f t="shared" si="20"/>
        <v>-0.17017774165536875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7">
        <v>9770.2999999999993</v>
      </c>
      <c r="E31" s="2"/>
      <c r="F31" s="6">
        <f t="shared" si="13"/>
        <v>6.5545547960391831E-2</v>
      </c>
      <c r="G31" s="2"/>
      <c r="H31" s="7">
        <v>11521.508070526201</v>
      </c>
      <c r="I31" s="2"/>
      <c r="J31" s="6">
        <f t="shared" si="14"/>
        <v>2.1652086128178233E-2</v>
      </c>
      <c r="K31" s="2"/>
      <c r="L31" s="7">
        <f t="shared" si="15"/>
        <v>-1751.2080705262015</v>
      </c>
      <c r="M31" s="2"/>
      <c r="N31" s="6">
        <f t="shared" si="16"/>
        <v>-0.15199469199748794</v>
      </c>
      <c r="O31" s="11"/>
      <c r="P31" s="7">
        <v>93231.7</v>
      </c>
      <c r="Q31" s="2"/>
      <c r="R31" s="6">
        <f t="shared" si="17"/>
        <v>7.5508190294436964E-2</v>
      </c>
      <c r="S31" s="2"/>
      <c r="T31" s="7">
        <v>111446.15977563</v>
      </c>
      <c r="U31" s="2"/>
      <c r="V31" s="6">
        <f t="shared" si="18"/>
        <v>3.3359492958833059E-2</v>
      </c>
      <c r="W31" s="2"/>
      <c r="X31" s="7">
        <f t="shared" si="19"/>
        <v>-18214.459775630006</v>
      </c>
      <c r="Y31" s="2"/>
      <c r="Z31" s="6">
        <f t="shared" si="20"/>
        <v>-0.16343730292995678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7">
        <v>5262.93</v>
      </c>
      <c r="E32" s="2"/>
      <c r="F32" s="6">
        <f t="shared" si="13"/>
        <v>3.5307168738645187E-2</v>
      </c>
      <c r="G32" s="2"/>
      <c r="H32" s="7">
        <v>8495.0344850884594</v>
      </c>
      <c r="I32" s="2"/>
      <c r="J32" s="6">
        <f t="shared" si="14"/>
        <v>1.5964508917327782E-2</v>
      </c>
      <c r="K32" s="2"/>
      <c r="L32" s="7">
        <f t="shared" si="15"/>
        <v>-3232.1044850884591</v>
      </c>
      <c r="M32" s="2"/>
      <c r="N32" s="6">
        <f t="shared" si="16"/>
        <v>-0.38046984868182121</v>
      </c>
      <c r="O32" s="11"/>
      <c r="P32" s="7">
        <v>50750.03</v>
      </c>
      <c r="Q32" s="2"/>
      <c r="R32" s="6">
        <f t="shared" si="17"/>
        <v>4.110236027754921E-2</v>
      </c>
      <c r="S32" s="2"/>
      <c r="T32" s="7">
        <v>73700.803479599999</v>
      </c>
      <c r="U32" s="2"/>
      <c r="V32" s="6">
        <f t="shared" si="18"/>
        <v>2.2061069126903046E-2</v>
      </c>
      <c r="W32" s="2"/>
      <c r="X32" s="7">
        <f t="shared" si="19"/>
        <v>-22950.7734796</v>
      </c>
      <c r="Y32" s="2"/>
      <c r="Z32" s="6">
        <f t="shared" si="20"/>
        <v>-0.31140465769756032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7">
        <v>53968.59</v>
      </c>
      <c r="E33" s="2"/>
      <c r="F33" s="6">
        <f t="shared" si="13"/>
        <v>0.36205651865344191</v>
      </c>
      <c r="G33" s="2"/>
      <c r="H33" s="7">
        <v>66855.384615384595</v>
      </c>
      <c r="I33" s="2"/>
      <c r="J33" s="6">
        <f t="shared" si="14"/>
        <v>0.12563967641769638</v>
      </c>
      <c r="K33" s="2"/>
      <c r="L33" s="7">
        <f t="shared" si="15"/>
        <v>-12886.794615384599</v>
      </c>
      <c r="M33" s="2"/>
      <c r="N33" s="6">
        <f t="shared" si="16"/>
        <v>-0.19275627071060364</v>
      </c>
      <c r="O33" s="11"/>
      <c r="P33" s="7">
        <v>490429.53</v>
      </c>
      <c r="Q33" s="2"/>
      <c r="R33" s="6">
        <f t="shared" si="17"/>
        <v>0.39719801609593397</v>
      </c>
      <c r="S33" s="2"/>
      <c r="T33" s="7">
        <v>633074.88461538497</v>
      </c>
      <c r="U33" s="2"/>
      <c r="V33" s="6">
        <f t="shared" si="18"/>
        <v>0.18950008863705237</v>
      </c>
      <c r="W33" s="2"/>
      <c r="X33" s="7">
        <f t="shared" si="19"/>
        <v>-142645.35461538495</v>
      </c>
      <c r="Y33" s="2"/>
      <c r="Z33" s="6">
        <f t="shared" si="20"/>
        <v>-0.22532145577382517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7">
        <v>364.7</v>
      </c>
      <c r="E34" s="2"/>
      <c r="F34" s="6">
        <f t="shared" si="13"/>
        <v>2.4466455831606915E-3</v>
      </c>
      <c r="G34" s="2"/>
      <c r="H34" s="7">
        <v>541.41672870000002</v>
      </c>
      <c r="I34" s="2"/>
      <c r="J34" s="6">
        <f t="shared" si="14"/>
        <v>1.0174711130947907E-3</v>
      </c>
      <c r="K34" s="2"/>
      <c r="L34" s="7">
        <f t="shared" si="15"/>
        <v>-176.71672870000003</v>
      </c>
      <c r="M34" s="2"/>
      <c r="N34" s="6">
        <f t="shared" si="16"/>
        <v>-0.32639687570111836</v>
      </c>
      <c r="O34" s="11"/>
      <c r="P34" s="7">
        <v>3608.82</v>
      </c>
      <c r="Q34" s="2"/>
      <c r="R34" s="6">
        <f t="shared" si="17"/>
        <v>2.9227769878525226E-3</v>
      </c>
      <c r="S34" s="2"/>
      <c r="T34" s="7">
        <v>4725.7353623999998</v>
      </c>
      <c r="U34" s="2"/>
      <c r="V34" s="6">
        <f t="shared" si="18"/>
        <v>1.4145676788206766E-3</v>
      </c>
      <c r="W34" s="2"/>
      <c r="X34" s="7">
        <f t="shared" si="19"/>
        <v>-1116.9153623999996</v>
      </c>
      <c r="Y34" s="2"/>
      <c r="Z34" s="6">
        <f t="shared" si="20"/>
        <v>-0.23634742040078305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7">
        <v>6377.95</v>
      </c>
      <c r="E35" s="2"/>
      <c r="F35" s="6">
        <f t="shared" si="13"/>
        <v>4.2787450499368614E-2</v>
      </c>
      <c r="G35" s="2"/>
      <c r="H35" s="7">
        <v>5989.2751107692402</v>
      </c>
      <c r="I35" s="2"/>
      <c r="J35" s="6">
        <f t="shared" si="14"/>
        <v>1.1255497088568819E-2</v>
      </c>
      <c r="K35" s="2"/>
      <c r="L35" s="7">
        <f t="shared" si="15"/>
        <v>388.67488923075962</v>
      </c>
      <c r="M35" s="2"/>
      <c r="N35" s="6">
        <f t="shared" si="16"/>
        <v>6.4895147082472168E-2</v>
      </c>
      <c r="O35" s="11"/>
      <c r="P35" s="7">
        <v>65854.48</v>
      </c>
      <c r="Q35" s="2"/>
      <c r="R35" s="6">
        <f t="shared" si="17"/>
        <v>5.3335427838183722E-2</v>
      </c>
      <c r="S35" s="2"/>
      <c r="T35" s="7">
        <v>58395.432330000098</v>
      </c>
      <c r="U35" s="2"/>
      <c r="V35" s="6">
        <f t="shared" si="18"/>
        <v>1.7479669264177104E-2</v>
      </c>
      <c r="W35" s="2"/>
      <c r="X35" s="7">
        <f t="shared" si="19"/>
        <v>7459.0476699998981</v>
      </c>
      <c r="Y35" s="2"/>
      <c r="Z35" s="6">
        <f t="shared" si="20"/>
        <v>0.12773340948736983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3"/>
        <v>0</v>
      </c>
      <c r="G36" s="2"/>
      <c r="H36" s="7">
        <v>0</v>
      </c>
      <c r="I36" s="2"/>
      <c r="J36" s="6">
        <f t="shared" si="14"/>
        <v>0</v>
      </c>
      <c r="K36" s="2"/>
      <c r="L36" s="7">
        <f t="shared" si="15"/>
        <v>0</v>
      </c>
      <c r="M36" s="2"/>
      <c r="N36" s="6">
        <f t="shared" si="16"/>
        <v>0</v>
      </c>
      <c r="O36" s="11"/>
      <c r="P36" s="7"/>
      <c r="Q36" s="2"/>
      <c r="R36" s="6">
        <f t="shared" si="17"/>
        <v>0</v>
      </c>
      <c r="S36" s="2"/>
      <c r="T36" s="7">
        <v>0</v>
      </c>
      <c r="U36" s="2"/>
      <c r="V36" s="6">
        <f t="shared" si="18"/>
        <v>0</v>
      </c>
      <c r="W36" s="2"/>
      <c r="X36" s="7">
        <f t="shared" si="19"/>
        <v>0</v>
      </c>
      <c r="Y36" s="2"/>
      <c r="Z36" s="6">
        <f t="shared" si="20"/>
        <v>0</v>
      </c>
    </row>
    <row r="37" spans="1:26" s="24" customFormat="1" hidden="1" outlineLevel="2" x14ac:dyDescent="0.25">
      <c r="A37" s="26"/>
      <c r="B37" s="11" t="str">
        <f>CONCATENATE("          ", "6117", " - ", "RETIREMENT STAFF HOURLY")</f>
        <v xml:space="preserve">          6117 - RETIREMENT STAFF HOURLY</v>
      </c>
      <c r="C37" s="11"/>
      <c r="D37" s="7">
        <v>2091.52</v>
      </c>
      <c r="E37" s="2"/>
      <c r="F37" s="6">
        <f t="shared" si="13"/>
        <v>1.4031280970913764E-2</v>
      </c>
      <c r="G37" s="2"/>
      <c r="H37" s="7"/>
      <c r="I37" s="2"/>
      <c r="J37" s="6">
        <f t="shared" si="14"/>
        <v>0</v>
      </c>
      <c r="K37" s="2"/>
      <c r="L37" s="7">
        <f t="shared" si="15"/>
        <v>2091.52</v>
      </c>
      <c r="M37" s="2"/>
      <c r="N37" s="6">
        <f t="shared" si="16"/>
        <v>0</v>
      </c>
      <c r="O37" s="11"/>
      <c r="P37" s="7">
        <v>13993.92</v>
      </c>
      <c r="Q37" s="2"/>
      <c r="R37" s="6">
        <f t="shared" si="17"/>
        <v>1.1333651261589431E-2</v>
      </c>
      <c r="S37" s="2"/>
      <c r="T37" s="7"/>
      <c r="U37" s="2"/>
      <c r="V37" s="6">
        <f t="shared" si="18"/>
        <v>0</v>
      </c>
      <c r="W37" s="2"/>
      <c r="X37" s="7">
        <f t="shared" si="19"/>
        <v>13993.92</v>
      </c>
      <c r="Y37" s="2"/>
      <c r="Z37" s="6">
        <f t="shared" si="20"/>
        <v>0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>
        <v>7946.2</v>
      </c>
      <c r="E38" s="2"/>
      <c r="F38" s="6">
        <f t="shared" si="13"/>
        <v>5.3308294853061385E-2</v>
      </c>
      <c r="G38" s="2"/>
      <c r="H38" s="7">
        <v>8280.2399538461596</v>
      </c>
      <c r="I38" s="2"/>
      <c r="J38" s="6">
        <f t="shared" si="14"/>
        <v>1.556085084914335E-2</v>
      </c>
      <c r="K38" s="2"/>
      <c r="L38" s="7">
        <f t="shared" si="15"/>
        <v>-334.03995384615973</v>
      </c>
      <c r="M38" s="2"/>
      <c r="N38" s="6">
        <f t="shared" si="16"/>
        <v>-4.03418204916874E-2</v>
      </c>
      <c r="O38" s="11"/>
      <c r="P38" s="7">
        <v>81372.81</v>
      </c>
      <c r="Q38" s="2"/>
      <c r="R38" s="6">
        <f t="shared" si="17"/>
        <v>6.5903696084840924E-2</v>
      </c>
      <c r="S38" s="2"/>
      <c r="T38" s="7">
        <v>80620.06955</v>
      </c>
      <c r="U38" s="2"/>
      <c r="V38" s="6">
        <f t="shared" si="18"/>
        <v>2.4132232531909627E-2</v>
      </c>
      <c r="W38" s="2"/>
      <c r="X38" s="7">
        <f t="shared" si="19"/>
        <v>752.74044999999751</v>
      </c>
      <c r="Y38" s="2"/>
      <c r="Z38" s="6">
        <f t="shared" si="20"/>
        <v>9.3368866363127256E-3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>
        <v>5594.46</v>
      </c>
      <c r="E39" s="2"/>
      <c r="F39" s="6">
        <f t="shared" si="13"/>
        <v>3.7531288316888296E-2</v>
      </c>
      <c r="G39" s="2"/>
      <c r="H39" s="7">
        <v>6702.7975465384598</v>
      </c>
      <c r="I39" s="2"/>
      <c r="J39" s="6">
        <f t="shared" si="14"/>
        <v>1.2596402214798278E-2</v>
      </c>
      <c r="K39" s="2"/>
      <c r="L39" s="7">
        <f t="shared" si="15"/>
        <v>-1108.3375465384597</v>
      </c>
      <c r="M39" s="2"/>
      <c r="N39" s="6">
        <f t="shared" si="16"/>
        <v>-0.1653544715983315</v>
      </c>
      <c r="O39" s="11"/>
      <c r="P39" s="7">
        <v>52744.44</v>
      </c>
      <c r="Q39" s="2"/>
      <c r="R39" s="6">
        <f t="shared" si="17"/>
        <v>4.2717629438200885E-2</v>
      </c>
      <c r="S39" s="2"/>
      <c r="T39" s="7">
        <v>58925.701820000002</v>
      </c>
      <c r="U39" s="2"/>
      <c r="V39" s="6">
        <f t="shared" si="18"/>
        <v>1.7638396324432475E-2</v>
      </c>
      <c r="W39" s="2"/>
      <c r="X39" s="7">
        <f t="shared" si="19"/>
        <v>-6181.2618199999997</v>
      </c>
      <c r="Y39" s="2"/>
      <c r="Z39" s="6">
        <f t="shared" si="20"/>
        <v>-0.10489924819023563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7">
        <v>2491.88</v>
      </c>
      <c r="E40" s="2"/>
      <c r="F40" s="6">
        <f t="shared" si="13"/>
        <v>1.6717157103829077E-2</v>
      </c>
      <c r="G40" s="2"/>
      <c r="H40" s="7">
        <v>4025</v>
      </c>
      <c r="I40" s="2"/>
      <c r="J40" s="6">
        <f t="shared" si="14"/>
        <v>7.5640832894835752E-3</v>
      </c>
      <c r="K40" s="2"/>
      <c r="L40" s="7">
        <f t="shared" si="15"/>
        <v>-1533.12</v>
      </c>
      <c r="M40" s="2"/>
      <c r="N40" s="6">
        <f t="shared" si="16"/>
        <v>-0.38089937888198755</v>
      </c>
      <c r="O40" s="11"/>
      <c r="P40" s="7">
        <v>25230.82</v>
      </c>
      <c r="Q40" s="2"/>
      <c r="R40" s="6">
        <f t="shared" si="17"/>
        <v>2.0434396861203713E-2</v>
      </c>
      <c r="S40" s="2"/>
      <c r="T40" s="7">
        <v>36225</v>
      </c>
      <c r="U40" s="2"/>
      <c r="V40" s="6">
        <f t="shared" si="18"/>
        <v>1.0843331298867952E-2</v>
      </c>
      <c r="W40" s="2"/>
      <c r="X40" s="7">
        <f t="shared" si="19"/>
        <v>-10994.18</v>
      </c>
      <c r="Y40" s="2"/>
      <c r="Z40" s="6">
        <f t="shared" si="20"/>
        <v>-0.30349703243616288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133404.63</v>
      </c>
      <c r="E41" s="1"/>
      <c r="F41" s="5">
        <f t="shared" ref="F41:F51" si="21">IF(D$12=0,0,D41/D$12)</f>
        <v>0.89496531056398765</v>
      </c>
      <c r="G41" s="1"/>
      <c r="H41" s="1">
        <f>SUM(OSRRefH22_1x_0)</f>
        <v>193970.23584576917</v>
      </c>
      <c r="I41" s="1"/>
      <c r="J41" s="5">
        <f t="shared" ref="J41:J51" si="22">IF(H$12=0,0,H41/H$12)</f>
        <v>0.3645234831349492</v>
      </c>
      <c r="K41" s="1"/>
      <c r="L41" s="1">
        <f t="shared" ref="L41:L51" si="23">+D41-H41</f>
        <v>-60565.605845769169</v>
      </c>
      <c r="M41" s="1"/>
      <c r="N41" s="5">
        <f t="shared" ref="N41:N51" si="24">IF(H41=0,0,L41/H41)</f>
        <v>-0.31224174978024194</v>
      </c>
      <c r="O41" s="13"/>
      <c r="P41" s="1">
        <f>SUM(OSRRefP22_1x_0)</f>
        <v>1212226.17</v>
      </c>
      <c r="Q41" s="1"/>
      <c r="R41" s="5">
        <f t="shared" ref="R41:R51" si="25">IF(P$12=0,0,P41/P$12)</f>
        <v>0.98177984874518531</v>
      </c>
      <c r="S41" s="1"/>
      <c r="T41" s="1">
        <f>SUM(OSRRefT22_1x_0)</f>
        <v>1683017.3486299999</v>
      </c>
      <c r="U41" s="1"/>
      <c r="V41" s="5">
        <f t="shared" ref="V41:V51" si="26">IF(T$12=0,0,T41/T$12)</f>
        <v>0.50378232416666491</v>
      </c>
      <c r="W41" s="1"/>
      <c r="X41" s="1">
        <f t="shared" ref="X41:X51" si="27">+P41-T41</f>
        <v>-470791.17862999998</v>
      </c>
      <c r="Y41" s="1"/>
      <c r="Z41" s="5">
        <f t="shared" ref="Z41:Z51" si="28">IF(T41=0,0,X41/T41)</f>
        <v>-0.27973043713021184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7">
        <v>19071.89</v>
      </c>
      <c r="E42" s="2"/>
      <c r="F42" s="6">
        <f t="shared" si="21"/>
        <v>0.12794668338641776</v>
      </c>
      <c r="G42" s="2"/>
      <c r="H42" s="7">
        <v>9962.3076923076896</v>
      </c>
      <c r="I42" s="2"/>
      <c r="J42" s="6">
        <f t="shared" si="22"/>
        <v>1.8721919289460442E-2</v>
      </c>
      <c r="K42" s="2"/>
      <c r="L42" s="7">
        <f t="shared" si="23"/>
        <v>9109.5823076923098</v>
      </c>
      <c r="M42" s="2"/>
      <c r="N42" s="6">
        <f t="shared" si="24"/>
        <v>0.91440483360358316</v>
      </c>
      <c r="O42" s="11"/>
      <c r="P42" s="7">
        <v>179424.15</v>
      </c>
      <c r="Q42" s="2"/>
      <c r="R42" s="6">
        <f t="shared" si="25"/>
        <v>0.14531530436125911</v>
      </c>
      <c r="S42" s="2"/>
      <c r="T42" s="7">
        <v>97132.499999999898</v>
      </c>
      <c r="U42" s="2"/>
      <c r="V42" s="6">
        <f t="shared" si="26"/>
        <v>2.9074944855411743E-2</v>
      </c>
      <c r="W42" s="2"/>
      <c r="X42" s="7">
        <f t="shared" si="27"/>
        <v>82291.650000000096</v>
      </c>
      <c r="Y42" s="2"/>
      <c r="Z42" s="6">
        <f t="shared" si="28"/>
        <v>0.84721025403443939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7">
        <v>42304.59</v>
      </c>
      <c r="E43" s="2"/>
      <c r="F43" s="6">
        <f t="shared" si="21"/>
        <v>0.28380679536858777</v>
      </c>
      <c r="G43" s="2"/>
      <c r="H43" s="7">
        <v>52827.443538461499</v>
      </c>
      <c r="I43" s="2"/>
      <c r="J43" s="6">
        <f t="shared" si="22"/>
        <v>9.9277312520599681E-2</v>
      </c>
      <c r="K43" s="2"/>
      <c r="L43" s="7">
        <f t="shared" si="23"/>
        <v>-10522.853538461502</v>
      </c>
      <c r="M43" s="2"/>
      <c r="N43" s="6">
        <f t="shared" si="24"/>
        <v>-0.19919293521747353</v>
      </c>
      <c r="O43" s="11"/>
      <c r="P43" s="7">
        <v>394581.86</v>
      </c>
      <c r="Q43" s="2"/>
      <c r="R43" s="6">
        <f t="shared" si="25"/>
        <v>0.31957115628710925</v>
      </c>
      <c r="S43" s="2"/>
      <c r="T43" s="7">
        <v>515067.57449999999</v>
      </c>
      <c r="U43" s="2"/>
      <c r="V43" s="6">
        <f t="shared" si="26"/>
        <v>0.1541766280637088</v>
      </c>
      <c r="W43" s="2"/>
      <c r="X43" s="7">
        <f t="shared" si="27"/>
        <v>-120485.7145</v>
      </c>
      <c r="Y43" s="2"/>
      <c r="Z43" s="6">
        <f t="shared" si="28"/>
        <v>-0.23392215015080511</v>
      </c>
    </row>
    <row r="44" spans="1:26" s="24" customFormat="1" hidden="1" outlineLevel="2" x14ac:dyDescent="0.25">
      <c r="A44" s="26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7">
        <v>47102.82</v>
      </c>
      <c r="E45" s="2"/>
      <c r="F45" s="6">
        <f t="shared" si="21"/>
        <v>0.31599645326957249</v>
      </c>
      <c r="G45" s="2"/>
      <c r="H45" s="7">
        <v>74840.849919999993</v>
      </c>
      <c r="I45" s="2"/>
      <c r="J45" s="6">
        <f t="shared" si="22"/>
        <v>0.14064656453431557</v>
      </c>
      <c r="K45" s="2"/>
      <c r="L45" s="7">
        <f t="shared" si="23"/>
        <v>-27738.029919999994</v>
      </c>
      <c r="M45" s="2"/>
      <c r="N45" s="6">
        <f t="shared" si="24"/>
        <v>-0.37062686954584489</v>
      </c>
      <c r="O45" s="11"/>
      <c r="P45" s="7">
        <v>420931.29</v>
      </c>
      <c r="Q45" s="2"/>
      <c r="R45" s="6">
        <f t="shared" si="25"/>
        <v>0.34091151342518511</v>
      </c>
      <c r="S45" s="2"/>
      <c r="T45" s="7">
        <v>701501.42671999999</v>
      </c>
      <c r="U45" s="2"/>
      <c r="V45" s="6">
        <f t="shared" si="26"/>
        <v>0.20998239824854381</v>
      </c>
      <c r="W45" s="2"/>
      <c r="X45" s="7">
        <f t="shared" si="27"/>
        <v>-280570.13672000001</v>
      </c>
      <c r="Y45" s="2"/>
      <c r="Z45" s="6">
        <f t="shared" si="28"/>
        <v>-0.39995661595708754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7">
        <v>9125.48</v>
      </c>
      <c r="E46" s="2"/>
      <c r="F46" s="6">
        <f t="shared" si="21"/>
        <v>6.1219674626326367E-2</v>
      </c>
      <c r="G46" s="2"/>
      <c r="H46" s="7">
        <v>16552.364695</v>
      </c>
      <c r="I46" s="2"/>
      <c r="J46" s="6">
        <f t="shared" si="22"/>
        <v>3.110645097910246E-2</v>
      </c>
      <c r="K46" s="2"/>
      <c r="L46" s="7">
        <f t="shared" si="23"/>
        <v>-7426.8846950000006</v>
      </c>
      <c r="M46" s="2"/>
      <c r="N46" s="6">
        <f t="shared" si="24"/>
        <v>-0.4486902525319208</v>
      </c>
      <c r="O46" s="11"/>
      <c r="P46" s="7">
        <v>92268.23</v>
      </c>
      <c r="Q46" s="2"/>
      <c r="R46" s="6">
        <f t="shared" si="25"/>
        <v>7.4727877631437345E-2</v>
      </c>
      <c r="S46" s="2"/>
      <c r="T46" s="7">
        <v>97473.886710000006</v>
      </c>
      <c r="U46" s="2"/>
      <c r="V46" s="6">
        <f t="shared" si="26"/>
        <v>2.9177133101031115E-2</v>
      </c>
      <c r="W46" s="2"/>
      <c r="X46" s="7">
        <f t="shared" si="27"/>
        <v>-5205.6567100000102</v>
      </c>
      <c r="Y46" s="2"/>
      <c r="Z46" s="6">
        <f t="shared" si="28"/>
        <v>-5.3405654434275814E-2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7">
        <v>717.96</v>
      </c>
      <c r="E47" s="2"/>
      <c r="F47" s="6">
        <f t="shared" si="21"/>
        <v>4.8165441812066086E-3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717.96</v>
      </c>
      <c r="M47" s="2"/>
      <c r="N47" s="6">
        <f t="shared" si="24"/>
        <v>0</v>
      </c>
      <c r="O47" s="11"/>
      <c r="P47" s="7">
        <v>1326.96</v>
      </c>
      <c r="Q47" s="2"/>
      <c r="R47" s="6">
        <f t="shared" si="25"/>
        <v>1.0747025764102347E-3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1326.96</v>
      </c>
      <c r="Y47" s="2"/>
      <c r="Z47" s="6">
        <f t="shared" si="28"/>
        <v>0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7">
        <v>15081.89</v>
      </c>
      <c r="E48" s="2"/>
      <c r="F48" s="6">
        <f t="shared" si="21"/>
        <v>0.10117915973187662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15081.89</v>
      </c>
      <c r="M48" s="2"/>
      <c r="N48" s="6">
        <f t="shared" si="24"/>
        <v>0</v>
      </c>
      <c r="O48" s="11"/>
      <c r="P48" s="7">
        <v>113062.8</v>
      </c>
      <c r="Q48" s="2"/>
      <c r="R48" s="6">
        <f t="shared" si="25"/>
        <v>9.1569363399164327E-2</v>
      </c>
      <c r="S48" s="2"/>
      <c r="T48" s="7">
        <v>16306.67</v>
      </c>
      <c r="U48" s="2"/>
      <c r="V48" s="6">
        <f t="shared" si="26"/>
        <v>4.8811214683591739E-3</v>
      </c>
      <c r="W48" s="2"/>
      <c r="X48" s="7">
        <f t="shared" si="27"/>
        <v>96756.13</v>
      </c>
      <c r="Y48" s="2"/>
      <c r="Z48" s="6">
        <f t="shared" si="28"/>
        <v>5.9335308803084876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1"/>
        <v>0</v>
      </c>
      <c r="G49" s="2"/>
      <c r="H49" s="7">
        <v>39787.269999999997</v>
      </c>
      <c r="I49" s="2"/>
      <c r="J49" s="6">
        <f t="shared" si="22"/>
        <v>7.477123581147109E-2</v>
      </c>
      <c r="K49" s="2"/>
      <c r="L49" s="7">
        <f t="shared" si="23"/>
        <v>-39787.269999999997</v>
      </c>
      <c r="M49" s="2"/>
      <c r="N49" s="6">
        <f t="shared" si="24"/>
        <v>-1</v>
      </c>
      <c r="O49" s="11"/>
      <c r="P49" s="7">
        <v>10630.88</v>
      </c>
      <c r="Q49" s="2"/>
      <c r="R49" s="6">
        <f t="shared" si="25"/>
        <v>8.6099310646199096E-3</v>
      </c>
      <c r="S49" s="2"/>
      <c r="T49" s="7">
        <v>255535.29070000001</v>
      </c>
      <c r="U49" s="2"/>
      <c r="V49" s="6">
        <f t="shared" si="26"/>
        <v>7.6490098429610243E-2</v>
      </c>
      <c r="W49" s="2"/>
      <c r="X49" s="7">
        <f t="shared" si="27"/>
        <v>-244904.41070000001</v>
      </c>
      <c r="Y49" s="2"/>
      <c r="Z49" s="6">
        <f t="shared" si="28"/>
        <v>-0.95839760539188801</v>
      </c>
    </row>
    <row r="50" spans="1:26" s="24" customFormat="1" hidden="1" outlineLevel="2" x14ac:dyDescent="0.25">
      <c r="A50" s="26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6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5" customFormat="1" outlineLevel="1" collapsed="1" x14ac:dyDescent="0.25">
      <c r="A52" s="27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155.19</v>
      </c>
      <c r="E52" s="1"/>
      <c r="F52" s="5">
        <f t="shared" ref="F52:F61" si="29">IF(D$12=0,0,D52/D$12)</f>
        <v>1.0411157884582061E-3</v>
      </c>
      <c r="G52" s="1"/>
      <c r="H52" s="1">
        <f>SUM(OSRRefH22_2x_0)</f>
        <v>1469</v>
      </c>
      <c r="I52" s="1"/>
      <c r="J52" s="5">
        <f t="shared" ref="J52:J61" si="30">IF(H$12=0,0,H52/H$12)</f>
        <v>2.7606554912425769E-3</v>
      </c>
      <c r="K52" s="1"/>
      <c r="L52" s="1">
        <f t="shared" ref="L52:L61" si="31">+D52-H52</f>
        <v>-1313.81</v>
      </c>
      <c r="M52" s="1"/>
      <c r="N52" s="5">
        <f t="shared" ref="N52:N61" si="32">IF(H52=0,0,L52/H52)</f>
        <v>-0.894356705241661</v>
      </c>
      <c r="O52" s="13"/>
      <c r="P52" s="1">
        <f>SUM(OSRRefP22_2x_0)</f>
        <v>1818.19</v>
      </c>
      <c r="Q52" s="1"/>
      <c r="R52" s="5">
        <f t="shared" ref="R52:R61" si="33">IF(P$12=0,0,P52/P$12)</f>
        <v>1.4725488917550829E-3</v>
      </c>
      <c r="S52" s="1"/>
      <c r="T52" s="1">
        <f>SUM(OSRRefT22_2x_0)</f>
        <v>16180</v>
      </c>
      <c r="U52" s="1"/>
      <c r="V52" s="5">
        <f t="shared" ref="V52:V61" si="34">IF(T$12=0,0,T52/T$12)</f>
        <v>4.8432049804191437E-3</v>
      </c>
      <c r="W52" s="1"/>
      <c r="X52" s="1">
        <f t="shared" ref="X52:X61" si="35">+P52-T52</f>
        <v>-14361.81</v>
      </c>
      <c r="Y52" s="1"/>
      <c r="Z52" s="5">
        <f t="shared" ref="Z52:Z61" si="36">IF(T52=0,0,X52/T52)</f>
        <v>-0.88762731767614333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7">
        <v>155.19</v>
      </c>
      <c r="E53" s="2"/>
      <c r="F53" s="6">
        <f t="shared" si="29"/>
        <v>1.0411157884582061E-3</v>
      </c>
      <c r="G53" s="2"/>
      <c r="H53" s="7">
        <v>1469</v>
      </c>
      <c r="I53" s="2"/>
      <c r="J53" s="6">
        <f t="shared" si="30"/>
        <v>2.7606554912425769E-3</v>
      </c>
      <c r="K53" s="2"/>
      <c r="L53" s="7">
        <f t="shared" si="31"/>
        <v>-1313.81</v>
      </c>
      <c r="M53" s="2"/>
      <c r="N53" s="6">
        <f t="shared" si="32"/>
        <v>-0.894356705241661</v>
      </c>
      <c r="O53" s="11"/>
      <c r="P53" s="7">
        <v>1818.19</v>
      </c>
      <c r="Q53" s="2"/>
      <c r="R53" s="6">
        <f t="shared" si="33"/>
        <v>1.4725488917550829E-3</v>
      </c>
      <c r="S53" s="2"/>
      <c r="T53" s="7">
        <v>16180</v>
      </c>
      <c r="U53" s="2"/>
      <c r="V53" s="6">
        <f t="shared" si="34"/>
        <v>4.8432049804191437E-3</v>
      </c>
      <c r="W53" s="2"/>
      <c r="X53" s="7">
        <f t="shared" si="35"/>
        <v>-14361.81</v>
      </c>
      <c r="Y53" s="2"/>
      <c r="Z53" s="6">
        <f t="shared" si="36"/>
        <v>-0.88762731767614333</v>
      </c>
    </row>
    <row r="54" spans="1:26" s="25" customFormat="1" outlineLevel="1" collapsed="1" x14ac:dyDescent="0.25">
      <c r="A54" s="27"/>
      <c r="B54" s="13" t="str">
        <f>CONCATENATE("     ","Bad Debts/Over/Short                              ")</f>
        <v xml:space="preserve">     Bad Debts/Over/Short                              </v>
      </c>
      <c r="C54" s="13"/>
      <c r="D54" s="1">
        <f>SUM(OSRRefD22_3x_0)</f>
        <v>-0.39</v>
      </c>
      <c r="E54" s="1"/>
      <c r="F54" s="5">
        <f t="shared" si="29"/>
        <v>-2.6163744925491355E-6</v>
      </c>
      <c r="G54" s="1"/>
      <c r="H54" s="1">
        <f>SUM(OSRRefH22_3x_0)</f>
        <v>36</v>
      </c>
      <c r="I54" s="1"/>
      <c r="J54" s="5">
        <f t="shared" si="30"/>
        <v>6.7653912651281667E-5</v>
      </c>
      <c r="K54" s="1"/>
      <c r="L54" s="1">
        <f t="shared" si="31"/>
        <v>-36.39</v>
      </c>
      <c r="M54" s="1"/>
      <c r="N54" s="5">
        <f t="shared" si="32"/>
        <v>-1.0108333333333333</v>
      </c>
      <c r="O54" s="13"/>
      <c r="P54" s="1">
        <f>SUM(OSRRefP22_3x_0)</f>
        <v>61.94</v>
      </c>
      <c r="Q54" s="1"/>
      <c r="R54" s="5">
        <f t="shared" si="33"/>
        <v>5.0165097352482316E-5</v>
      </c>
      <c r="S54" s="1"/>
      <c r="T54" s="1">
        <f>SUM(OSRRefT22_3x_0)</f>
        <v>338</v>
      </c>
      <c r="U54" s="1"/>
      <c r="V54" s="5">
        <f t="shared" si="34"/>
        <v>1.011744921743925E-4</v>
      </c>
      <c r="W54" s="1"/>
      <c r="X54" s="1">
        <f t="shared" si="35"/>
        <v>-276.06</v>
      </c>
      <c r="Y54" s="1"/>
      <c r="Z54" s="5">
        <f t="shared" si="36"/>
        <v>-0.81674556213017757</v>
      </c>
    </row>
    <row r="55" spans="1:26" s="24" customFormat="1" hidden="1" outlineLevel="2" x14ac:dyDescent="0.25">
      <c r="A55" s="26"/>
      <c r="B55" s="11" t="str">
        <f>CONCATENATE("          ", "6272", " - ", "CASH (OVER/SHORT)")</f>
        <v xml:space="preserve">          6272 - CASH (OVER/SHORT)</v>
      </c>
      <c r="C55" s="11"/>
      <c r="D55" s="7">
        <v>-0.39</v>
      </c>
      <c r="E55" s="2"/>
      <c r="F55" s="6">
        <f t="shared" si="29"/>
        <v>-2.6163744925491355E-6</v>
      </c>
      <c r="G55" s="2"/>
      <c r="H55" s="7">
        <v>36</v>
      </c>
      <c r="I55" s="2"/>
      <c r="J55" s="6">
        <f t="shared" si="30"/>
        <v>6.7653912651281667E-5</v>
      </c>
      <c r="K55" s="2"/>
      <c r="L55" s="7">
        <f t="shared" si="31"/>
        <v>-36.39</v>
      </c>
      <c r="M55" s="2"/>
      <c r="N55" s="6">
        <f t="shared" si="32"/>
        <v>-1.0108333333333333</v>
      </c>
      <c r="O55" s="11"/>
      <c r="P55" s="7">
        <v>61.94</v>
      </c>
      <c r="Q55" s="2"/>
      <c r="R55" s="6">
        <f t="shared" si="33"/>
        <v>5.0165097352482316E-5</v>
      </c>
      <c r="S55" s="2"/>
      <c r="T55" s="7">
        <v>338</v>
      </c>
      <c r="U55" s="2"/>
      <c r="V55" s="6">
        <f t="shared" si="34"/>
        <v>1.011744921743925E-4</v>
      </c>
      <c r="W55" s="2"/>
      <c r="X55" s="7">
        <f t="shared" si="35"/>
        <v>-276.06</v>
      </c>
      <c r="Y55" s="2"/>
      <c r="Z55" s="6">
        <f t="shared" si="36"/>
        <v>-0.81674556213017757</v>
      </c>
    </row>
    <row r="56" spans="1:26" s="25" customFormat="1" outlineLevel="1" collapsed="1" x14ac:dyDescent="0.25">
      <c r="A56" s="27"/>
      <c r="B56" s="13" t="str">
        <f>CONCATENATE("     ","Bank/card Fees                                    ")</f>
        <v xml:space="preserve">     Bank/card Fees                                    </v>
      </c>
      <c r="C56" s="13"/>
      <c r="D56" s="1">
        <f>SUM(OSRRefD22_4x_0)</f>
        <v>727.54</v>
      </c>
      <c r="E56" s="1"/>
      <c r="F56" s="5">
        <f t="shared" si="29"/>
        <v>4.8808130725876871E-3</v>
      </c>
      <c r="G56" s="1"/>
      <c r="H56" s="1">
        <f>SUM(OSRRefH22_4x_0)</f>
        <v>1595</v>
      </c>
      <c r="I56" s="1"/>
      <c r="J56" s="5">
        <f t="shared" si="30"/>
        <v>2.9974441855220627E-3</v>
      </c>
      <c r="K56" s="1"/>
      <c r="L56" s="1">
        <f t="shared" si="31"/>
        <v>-867.46</v>
      </c>
      <c r="M56" s="1"/>
      <c r="N56" s="5">
        <f t="shared" si="32"/>
        <v>-0.54386206896551725</v>
      </c>
      <c r="O56" s="13"/>
      <c r="P56" s="1">
        <f>SUM(OSRRefP22_4x_0)</f>
        <v>5624.85</v>
      </c>
      <c r="Q56" s="1"/>
      <c r="R56" s="5">
        <f t="shared" si="33"/>
        <v>4.555556148581049E-3</v>
      </c>
      <c r="S56" s="1"/>
      <c r="T56" s="1">
        <f>SUM(OSRRefT22_4x_0)</f>
        <v>28908</v>
      </c>
      <c r="U56" s="1"/>
      <c r="V56" s="5">
        <f t="shared" si="34"/>
        <v>8.6531130762643148E-3</v>
      </c>
      <c r="W56" s="1"/>
      <c r="X56" s="1">
        <f t="shared" si="35"/>
        <v>-23283.15</v>
      </c>
      <c r="Y56" s="1"/>
      <c r="Z56" s="5">
        <f t="shared" si="36"/>
        <v>-0.80542237442922382</v>
      </c>
    </row>
    <row r="57" spans="1:26" s="24" customFormat="1" hidden="1" outlineLevel="2" x14ac:dyDescent="0.25">
      <c r="A57" s="26"/>
      <c r="B57" s="11" t="str">
        <f>CONCATENATE("          ", "6381", " - ", "BANK/CREDIT CARD FEES")</f>
        <v xml:space="preserve">          6381 - BANK/CREDIT CARD FEES</v>
      </c>
      <c r="C57" s="11"/>
      <c r="D57" s="7">
        <v>727.54</v>
      </c>
      <c r="E57" s="2"/>
      <c r="F57" s="6">
        <f t="shared" si="29"/>
        <v>4.8808130725876871E-3</v>
      </c>
      <c r="G57" s="2"/>
      <c r="H57" s="7">
        <v>1595</v>
      </c>
      <c r="I57" s="2"/>
      <c r="J57" s="6">
        <f t="shared" si="30"/>
        <v>2.9974441855220627E-3</v>
      </c>
      <c r="K57" s="2"/>
      <c r="L57" s="7">
        <f t="shared" si="31"/>
        <v>-867.46</v>
      </c>
      <c r="M57" s="2"/>
      <c r="N57" s="6">
        <f t="shared" si="32"/>
        <v>-0.54386206896551725</v>
      </c>
      <c r="O57" s="11"/>
      <c r="P57" s="7">
        <v>5624.85</v>
      </c>
      <c r="Q57" s="2"/>
      <c r="R57" s="6">
        <f t="shared" si="33"/>
        <v>4.555556148581049E-3</v>
      </c>
      <c r="S57" s="2"/>
      <c r="T57" s="7">
        <v>28908</v>
      </c>
      <c r="U57" s="2"/>
      <c r="V57" s="6">
        <f t="shared" si="34"/>
        <v>8.6531130762643148E-3</v>
      </c>
      <c r="W57" s="2"/>
      <c r="X57" s="7">
        <f t="shared" si="35"/>
        <v>-23283.15</v>
      </c>
      <c r="Y57" s="2"/>
      <c r="Z57" s="6">
        <f t="shared" si="36"/>
        <v>-0.80542237442922382</v>
      </c>
    </row>
    <row r="58" spans="1:26" s="25" customFormat="1" outlineLevel="1" collapsed="1" x14ac:dyDescent="0.25">
      <c r="A58" s="27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SUM(OSRRefD22_5x_0)</f>
        <v>37479.26</v>
      </c>
      <c r="E58" s="1"/>
      <c r="F58" s="5">
        <f t="shared" si="29"/>
        <v>0.25143533298363363</v>
      </c>
      <c r="G58" s="1"/>
      <c r="H58" s="1">
        <f>SUM(OSRRefH22_5x_0)</f>
        <v>37930</v>
      </c>
      <c r="I58" s="1"/>
      <c r="J58" s="5">
        <f t="shared" si="30"/>
        <v>7.1280914079530938E-2</v>
      </c>
      <c r="K58" s="1"/>
      <c r="L58" s="1">
        <f t="shared" si="31"/>
        <v>-450.73999999999796</v>
      </c>
      <c r="M58" s="1"/>
      <c r="N58" s="5">
        <f t="shared" si="32"/>
        <v>-1.1883469549169469E-2</v>
      </c>
      <c r="O58" s="13"/>
      <c r="P58" s="1">
        <f>SUM(OSRRefP22_5x_0)</f>
        <v>339608.42000000004</v>
      </c>
      <c r="Q58" s="1"/>
      <c r="R58" s="5">
        <f t="shared" si="33"/>
        <v>0.27504826365874563</v>
      </c>
      <c r="S58" s="1"/>
      <c r="T58" s="1">
        <f>SUM(OSRRefT22_5x_0)</f>
        <v>343974</v>
      </c>
      <c r="U58" s="1"/>
      <c r="V58" s="5">
        <f t="shared" si="34"/>
        <v>0.10296270642365232</v>
      </c>
      <c r="W58" s="1"/>
      <c r="X58" s="1">
        <f t="shared" si="35"/>
        <v>-4365.5799999999581</v>
      </c>
      <c r="Y58" s="1"/>
      <c r="Z58" s="5">
        <f t="shared" si="36"/>
        <v>-1.2691598783628874E-2</v>
      </c>
    </row>
    <row r="59" spans="1:26" s="24" customFormat="1" hidden="1" outlineLevel="2" x14ac:dyDescent="0.25">
      <c r="A59" s="26"/>
      <c r="B59" s="11" t="str">
        <f>CONCATENATE("          ", "6321", " - ", "BUILDING DEPRECIATION")</f>
        <v xml:space="preserve">          6321 - BUILDING DEPRECIATION</v>
      </c>
      <c r="C59" s="11"/>
      <c r="D59" s="7">
        <v>23583.49</v>
      </c>
      <c r="E59" s="2"/>
      <c r="F59" s="6">
        <f t="shared" si="29"/>
        <v>0.15821344020842978</v>
      </c>
      <c r="G59" s="2"/>
      <c r="H59" s="7"/>
      <c r="I59" s="2"/>
      <c r="J59" s="6">
        <f t="shared" si="30"/>
        <v>0</v>
      </c>
      <c r="K59" s="2"/>
      <c r="L59" s="7">
        <f t="shared" si="31"/>
        <v>23583.49</v>
      </c>
      <c r="M59" s="2"/>
      <c r="N59" s="6">
        <f t="shared" si="32"/>
        <v>0</v>
      </c>
      <c r="O59" s="11"/>
      <c r="P59" s="7">
        <v>213035.6</v>
      </c>
      <c r="Q59" s="2"/>
      <c r="R59" s="6">
        <f t="shared" si="33"/>
        <v>0.17253715875919409</v>
      </c>
      <c r="S59" s="2"/>
      <c r="T59" s="7"/>
      <c r="U59" s="2"/>
      <c r="V59" s="6">
        <f t="shared" si="34"/>
        <v>0</v>
      </c>
      <c r="W59" s="2"/>
      <c r="X59" s="7">
        <f t="shared" si="35"/>
        <v>213035.6</v>
      </c>
      <c r="Y59" s="2"/>
      <c r="Z59" s="6">
        <f t="shared" si="36"/>
        <v>0</v>
      </c>
    </row>
    <row r="60" spans="1:26" s="24" customFormat="1" hidden="1" outlineLevel="2" x14ac:dyDescent="0.25">
      <c r="A60" s="26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13895.77</v>
      </c>
      <c r="E60" s="2"/>
      <c r="F60" s="6">
        <f t="shared" si="29"/>
        <v>9.3221892775203846E-2</v>
      </c>
      <c r="G60" s="2"/>
      <c r="H60" s="7">
        <v>37380</v>
      </c>
      <c r="I60" s="2"/>
      <c r="J60" s="6">
        <f t="shared" si="30"/>
        <v>7.0247312636247464E-2</v>
      </c>
      <c r="K60" s="2"/>
      <c r="L60" s="7">
        <f t="shared" si="31"/>
        <v>-23484.23</v>
      </c>
      <c r="M60" s="2"/>
      <c r="N60" s="6">
        <f t="shared" si="32"/>
        <v>-0.62825655430711613</v>
      </c>
      <c r="O60" s="11"/>
      <c r="P60" s="7">
        <v>126572.82</v>
      </c>
      <c r="Q60" s="2"/>
      <c r="R60" s="6">
        <f t="shared" si="33"/>
        <v>0.10251110489955152</v>
      </c>
      <c r="S60" s="2"/>
      <c r="T60" s="7">
        <v>339024</v>
      </c>
      <c r="U60" s="2"/>
      <c r="V60" s="6">
        <f t="shared" si="34"/>
        <v>0.10148100897908652</v>
      </c>
      <c r="W60" s="2"/>
      <c r="X60" s="7">
        <f t="shared" si="35"/>
        <v>-212451.18</v>
      </c>
      <c r="Y60" s="2"/>
      <c r="Z60" s="6">
        <f t="shared" si="36"/>
        <v>-0.62665528104205015</v>
      </c>
    </row>
    <row r="61" spans="1:26" s="24" customFormat="1" hidden="1" outlineLevel="2" x14ac:dyDescent="0.25">
      <c r="A61" s="26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29"/>
        <v>0</v>
      </c>
      <c r="G61" s="2"/>
      <c r="H61" s="7">
        <v>550</v>
      </c>
      <c r="I61" s="2"/>
      <c r="J61" s="6">
        <f t="shared" si="30"/>
        <v>1.0336014432834699E-3</v>
      </c>
      <c r="K61" s="2"/>
      <c r="L61" s="7">
        <f t="shared" si="31"/>
        <v>-550</v>
      </c>
      <c r="M61" s="2"/>
      <c r="N61" s="6">
        <f t="shared" si="32"/>
        <v>-1</v>
      </c>
      <c r="O61" s="11"/>
      <c r="P61" s="7"/>
      <c r="Q61" s="2"/>
      <c r="R61" s="6">
        <f t="shared" si="33"/>
        <v>0</v>
      </c>
      <c r="S61" s="2"/>
      <c r="T61" s="7">
        <v>4950</v>
      </c>
      <c r="U61" s="2"/>
      <c r="V61" s="6">
        <f t="shared" si="34"/>
        <v>1.4816974445658073E-3</v>
      </c>
      <c r="W61" s="2"/>
      <c r="X61" s="7">
        <f t="shared" si="35"/>
        <v>-4950</v>
      </c>
      <c r="Y61" s="2"/>
      <c r="Z61" s="6">
        <f t="shared" si="36"/>
        <v>-1</v>
      </c>
    </row>
    <row r="62" spans="1:26" s="25" customFormat="1" outlineLevel="1" collapsed="1" x14ac:dyDescent="0.25">
      <c r="A62" s="27"/>
      <c r="B62" s="13" t="str">
        <f>CONCATENATE("     ","Donations                                         ")</f>
        <v xml:space="preserve">     Donations                                         </v>
      </c>
      <c r="C62" s="13"/>
      <c r="D62" s="1">
        <f>SUM(OSRRefD22_6x_0)</f>
        <v>7337.33</v>
      </c>
      <c r="E62" s="1"/>
      <c r="F62" s="5">
        <f t="shared" ref="F62:F84" si="37">IF(D$12=0,0,D62/D$12)</f>
        <v>4.9223597577988588E-2</v>
      </c>
      <c r="G62" s="1"/>
      <c r="H62" s="1">
        <f>SUM(OSRRefH22_6x_0)</f>
        <v>13773</v>
      </c>
      <c r="I62" s="1"/>
      <c r="J62" s="5">
        <f t="shared" ref="J62:J84" si="38">IF(H$12=0,0,H62/H$12)</f>
        <v>2.5883259415169512E-2</v>
      </c>
      <c r="K62" s="1"/>
      <c r="L62" s="1">
        <f t="shared" ref="L62:L84" si="39">+D62-H62</f>
        <v>-6435.67</v>
      </c>
      <c r="M62" s="1"/>
      <c r="N62" s="5">
        <f t="shared" ref="N62:N84" si="40">IF(H62=0,0,L62/H62)</f>
        <v>-0.46726711682276917</v>
      </c>
      <c r="O62" s="13"/>
      <c r="P62" s="1">
        <f>SUM(OSRRefP22_6x_0)</f>
        <v>50979.76</v>
      </c>
      <c r="Q62" s="1"/>
      <c r="R62" s="5">
        <f t="shared" ref="R62:R84" si="41">IF(P$12=0,0,P62/P$12)</f>
        <v>4.1288418201585152E-2</v>
      </c>
      <c r="S62" s="1"/>
      <c r="T62" s="1">
        <f>SUM(OSRRefT22_6x_0)</f>
        <v>106184</v>
      </c>
      <c r="U62" s="1"/>
      <c r="V62" s="5">
        <f t="shared" ref="V62:V84" si="42">IF(T$12=0,0,T62/T$12)</f>
        <v>3.178435584924761E-2</v>
      </c>
      <c r="W62" s="1"/>
      <c r="X62" s="1">
        <f t="shared" ref="X62:X84" si="43">+P62-T62</f>
        <v>-55204.24</v>
      </c>
      <c r="Y62" s="1"/>
      <c r="Z62" s="5">
        <f t="shared" ref="Z62:Z84" si="44">IF(T62=0,0,X62/T62)</f>
        <v>-0.51989226248775711</v>
      </c>
    </row>
    <row r="63" spans="1:26" s="24" customFormat="1" hidden="1" outlineLevel="2" x14ac:dyDescent="0.25">
      <c r="A63" s="26"/>
      <c r="B63" s="11" t="str">
        <f>CONCATENATE("          ", "6399", " - ", "DONATION-ON CAMPUS")</f>
        <v xml:space="preserve">          6399 - DONATION-ON CAMPUS</v>
      </c>
      <c r="C63" s="11"/>
      <c r="D63" s="7">
        <v>7337.33</v>
      </c>
      <c r="E63" s="2"/>
      <c r="F63" s="6">
        <f t="shared" si="37"/>
        <v>4.9223597577988588E-2</v>
      </c>
      <c r="G63" s="2"/>
      <c r="H63" s="7">
        <v>13773</v>
      </c>
      <c r="I63" s="2"/>
      <c r="J63" s="6">
        <f t="shared" si="38"/>
        <v>2.5883259415169512E-2</v>
      </c>
      <c r="K63" s="2"/>
      <c r="L63" s="7">
        <f t="shared" si="39"/>
        <v>-6435.67</v>
      </c>
      <c r="M63" s="2"/>
      <c r="N63" s="6">
        <f t="shared" si="40"/>
        <v>-0.46726711682276917</v>
      </c>
      <c r="O63" s="11"/>
      <c r="P63" s="7">
        <v>50979.76</v>
      </c>
      <c r="Q63" s="2"/>
      <c r="R63" s="6">
        <f t="shared" si="41"/>
        <v>4.1288418201585152E-2</v>
      </c>
      <c r="S63" s="2"/>
      <c r="T63" s="7">
        <v>106184</v>
      </c>
      <c r="U63" s="2"/>
      <c r="V63" s="6">
        <f t="shared" si="42"/>
        <v>3.178435584924761E-2</v>
      </c>
      <c r="W63" s="2"/>
      <c r="X63" s="7">
        <f t="shared" si="43"/>
        <v>-55204.24</v>
      </c>
      <c r="Y63" s="2"/>
      <c r="Z63" s="6">
        <f t="shared" si="44"/>
        <v>-0.51989226248775711</v>
      </c>
    </row>
    <row r="64" spans="1:26" s="25" customFormat="1" outlineLevel="1" collapsed="1" x14ac:dyDescent="0.25">
      <c r="A64" s="27"/>
      <c r="B64" s="13" t="str">
        <f>CONCATENATE("     ","Employees' Appreciation                           ")</f>
        <v xml:space="preserve">     Employees' Appreciation                           </v>
      </c>
      <c r="C64" s="13"/>
      <c r="D64" s="1">
        <f>SUM(OSRRefD22_7x_0)</f>
        <v>0</v>
      </c>
      <c r="E64" s="1"/>
      <c r="F64" s="5">
        <f t="shared" si="37"/>
        <v>0</v>
      </c>
      <c r="G64" s="1"/>
      <c r="H64" s="1">
        <f>SUM(OSRRefH22_7x_0)</f>
        <v>300</v>
      </c>
      <c r="I64" s="1"/>
      <c r="J64" s="5">
        <f t="shared" si="38"/>
        <v>5.6378260542734723E-4</v>
      </c>
      <c r="K64" s="1"/>
      <c r="L64" s="1">
        <f t="shared" si="39"/>
        <v>-300</v>
      </c>
      <c r="M64" s="1"/>
      <c r="N64" s="5">
        <f t="shared" si="40"/>
        <v>-1</v>
      </c>
      <c r="O64" s="13"/>
      <c r="P64" s="1">
        <f>SUM(OSRRefP22_7x_0)</f>
        <v>10</v>
      </c>
      <c r="Q64" s="1"/>
      <c r="R64" s="5">
        <f t="shared" si="41"/>
        <v>8.0989824592318895E-6</v>
      </c>
      <c r="S64" s="1"/>
      <c r="T64" s="1">
        <f>SUM(OSRRefT22_7x_0)</f>
        <v>2600</v>
      </c>
      <c r="U64" s="1"/>
      <c r="V64" s="5">
        <f t="shared" si="42"/>
        <v>7.7826532441840381E-4</v>
      </c>
      <c r="W64" s="1"/>
      <c r="X64" s="1">
        <f t="shared" si="43"/>
        <v>-2590</v>
      </c>
      <c r="Y64" s="1"/>
      <c r="Z64" s="5">
        <f t="shared" si="44"/>
        <v>-0.99615384615384617</v>
      </c>
    </row>
    <row r="65" spans="1:26" s="24" customFormat="1" hidden="1" outlineLevel="2" x14ac:dyDescent="0.25">
      <c r="A65" s="26"/>
      <c r="B65" s="11" t="str">
        <f>CONCATENATE("          ", "6277", " - ", "EMPLOYEE APPRECIATION")</f>
        <v xml:space="preserve">          6277 - EMPLOYEE APPRECIATION</v>
      </c>
      <c r="C65" s="11"/>
      <c r="D65" s="7"/>
      <c r="E65" s="2"/>
      <c r="F65" s="6">
        <f t="shared" si="37"/>
        <v>0</v>
      </c>
      <c r="G65" s="2"/>
      <c r="H65" s="7">
        <v>300</v>
      </c>
      <c r="I65" s="2"/>
      <c r="J65" s="6">
        <f t="shared" si="38"/>
        <v>5.6378260542734723E-4</v>
      </c>
      <c r="K65" s="2"/>
      <c r="L65" s="7">
        <f t="shared" si="39"/>
        <v>-300</v>
      </c>
      <c r="M65" s="2"/>
      <c r="N65" s="6">
        <f t="shared" si="40"/>
        <v>-1</v>
      </c>
      <c r="O65" s="11"/>
      <c r="P65" s="7">
        <v>10</v>
      </c>
      <c r="Q65" s="2"/>
      <c r="R65" s="6">
        <f t="shared" si="41"/>
        <v>8.0989824592318895E-6</v>
      </c>
      <c r="S65" s="2"/>
      <c r="T65" s="7">
        <v>2600</v>
      </c>
      <c r="U65" s="2"/>
      <c r="V65" s="6">
        <f t="shared" si="42"/>
        <v>7.7826532441840381E-4</v>
      </c>
      <c r="W65" s="2"/>
      <c r="X65" s="7">
        <f t="shared" si="43"/>
        <v>-2590</v>
      </c>
      <c r="Y65" s="2"/>
      <c r="Z65" s="6">
        <f t="shared" si="44"/>
        <v>-0.99615384615384617</v>
      </c>
    </row>
    <row r="66" spans="1:26" s="25" customFormat="1" outlineLevel="1" collapsed="1" x14ac:dyDescent="0.25">
      <c r="A66" s="27"/>
      <c r="B66" s="13" t="str">
        <f>CONCATENATE("     ","Equipment Rental                                  ")</f>
        <v xml:space="preserve">     Equipment Rental                                  </v>
      </c>
      <c r="C66" s="13"/>
      <c r="D66" s="1">
        <f>SUM(OSRRefD22_8x_0)</f>
        <v>880.16</v>
      </c>
      <c r="E66" s="1"/>
      <c r="F66" s="5">
        <f t="shared" si="37"/>
        <v>5.904687624005249E-3</v>
      </c>
      <c r="G66" s="1"/>
      <c r="H66" s="1">
        <f>SUM(OSRRefH22_8x_0)</f>
        <v>1018.33333333333</v>
      </c>
      <c r="I66" s="1"/>
      <c r="J66" s="5">
        <f t="shared" si="38"/>
        <v>1.9137287328672666E-3</v>
      </c>
      <c r="K66" s="1"/>
      <c r="L66" s="1">
        <f t="shared" si="39"/>
        <v>-138.17333333332999</v>
      </c>
      <c r="M66" s="1"/>
      <c r="N66" s="5">
        <f t="shared" si="40"/>
        <v>-0.13568576104746036</v>
      </c>
      <c r="O66" s="13"/>
      <c r="P66" s="1">
        <f>SUM(OSRRefP22_8x_0)</f>
        <v>9438.15</v>
      </c>
      <c r="Q66" s="1"/>
      <c r="R66" s="5">
        <f t="shared" si="41"/>
        <v>7.6439411297599446E-3</v>
      </c>
      <c r="S66" s="1"/>
      <c r="T66" s="1">
        <f>SUM(OSRRefT22_8x_0)</f>
        <v>9143</v>
      </c>
      <c r="U66" s="1"/>
      <c r="V66" s="5">
        <f t="shared" si="42"/>
        <v>2.7367999465990256E-3</v>
      </c>
      <c r="W66" s="1"/>
      <c r="X66" s="1">
        <f t="shared" si="43"/>
        <v>295.14999999999964</v>
      </c>
      <c r="Y66" s="1"/>
      <c r="Z66" s="5">
        <f t="shared" si="44"/>
        <v>3.2281526851142911E-2</v>
      </c>
    </row>
    <row r="67" spans="1:26" s="24" customFormat="1" hidden="1" outlineLevel="2" x14ac:dyDescent="0.25">
      <c r="A67" s="26"/>
      <c r="B67" s="11" t="str">
        <f>CONCATENATE("          ", "6351", " - ", "EQUIPMENT RENTAL")</f>
        <v xml:space="preserve">          6351 - EQUIPMENT RENTAL</v>
      </c>
      <c r="C67" s="11"/>
      <c r="D67" s="7">
        <v>880.16</v>
      </c>
      <c r="E67" s="2"/>
      <c r="F67" s="6">
        <f t="shared" si="37"/>
        <v>5.904687624005249E-3</v>
      </c>
      <c r="G67" s="2"/>
      <c r="H67" s="7">
        <v>1018.33333333333</v>
      </c>
      <c r="I67" s="2"/>
      <c r="J67" s="6">
        <f t="shared" si="38"/>
        <v>1.9137287328672666E-3</v>
      </c>
      <c r="K67" s="2"/>
      <c r="L67" s="7">
        <f t="shared" si="39"/>
        <v>-138.17333333332999</v>
      </c>
      <c r="M67" s="2"/>
      <c r="N67" s="6">
        <f t="shared" si="40"/>
        <v>-0.13568576104746036</v>
      </c>
      <c r="O67" s="11"/>
      <c r="P67" s="7">
        <v>9438.15</v>
      </c>
      <c r="Q67" s="2"/>
      <c r="R67" s="6">
        <f t="shared" si="41"/>
        <v>7.6439411297599446E-3</v>
      </c>
      <c r="S67" s="2"/>
      <c r="T67" s="7">
        <v>9143</v>
      </c>
      <c r="U67" s="2"/>
      <c r="V67" s="6">
        <f t="shared" si="42"/>
        <v>2.7367999465990256E-3</v>
      </c>
      <c r="W67" s="2"/>
      <c r="X67" s="7">
        <f t="shared" si="43"/>
        <v>295.14999999999964</v>
      </c>
      <c r="Y67" s="2"/>
      <c r="Z67" s="6">
        <f t="shared" si="44"/>
        <v>3.2281526851142911E-2</v>
      </c>
    </row>
    <row r="68" spans="1:26" s="25" customFormat="1" outlineLevel="1" collapsed="1" x14ac:dyDescent="0.25">
      <c r="A68" s="27"/>
      <c r="B68" s="13" t="str">
        <f>CONCATENATE("     ","Freight out/Postage                               ")</f>
        <v xml:space="preserve">     Freight out/Postage                               </v>
      </c>
      <c r="C68" s="13"/>
      <c r="D68" s="1">
        <f>SUM(OSRRefD22_9x_0)</f>
        <v>0</v>
      </c>
      <c r="E68" s="1"/>
      <c r="F68" s="5">
        <f t="shared" si="37"/>
        <v>0</v>
      </c>
      <c r="G68" s="1"/>
      <c r="H68" s="1">
        <f>SUM(OSRRefH22_9x_0)</f>
        <v>0</v>
      </c>
      <c r="I68" s="1"/>
      <c r="J68" s="5">
        <f t="shared" si="38"/>
        <v>0</v>
      </c>
      <c r="K68" s="1"/>
      <c r="L68" s="1">
        <f t="shared" si="39"/>
        <v>0</v>
      </c>
      <c r="M68" s="1"/>
      <c r="N68" s="5">
        <f t="shared" si="40"/>
        <v>0</v>
      </c>
      <c r="O68" s="13"/>
      <c r="P68" s="1">
        <f>SUM(OSRRefP22_9x_0)</f>
        <v>-5.41</v>
      </c>
      <c r="Q68" s="1"/>
      <c r="R68" s="5">
        <f t="shared" si="41"/>
        <v>-4.3815495104444523E-6</v>
      </c>
      <c r="S68" s="1"/>
      <c r="T68" s="1">
        <f>SUM(OSRRefT22_9x_0)</f>
        <v>0</v>
      </c>
      <c r="U68" s="1"/>
      <c r="V68" s="5">
        <f t="shared" si="42"/>
        <v>0</v>
      </c>
      <c r="W68" s="1"/>
      <c r="X68" s="1">
        <f t="shared" si="43"/>
        <v>-5.41</v>
      </c>
      <c r="Y68" s="1"/>
      <c r="Z68" s="5">
        <f t="shared" si="44"/>
        <v>0</v>
      </c>
    </row>
    <row r="69" spans="1:26" s="24" customFormat="1" hidden="1" outlineLevel="2" x14ac:dyDescent="0.25">
      <c r="A69" s="26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-5.41</v>
      </c>
      <c r="Q69" s="2"/>
      <c r="R69" s="6">
        <f t="shared" si="41"/>
        <v>-4.3815495104444523E-6</v>
      </c>
      <c r="S69" s="2"/>
      <c r="T69" s="7"/>
      <c r="U69" s="2"/>
      <c r="V69" s="6">
        <f t="shared" si="42"/>
        <v>0</v>
      </c>
      <c r="W69" s="2"/>
      <c r="X69" s="7">
        <f t="shared" si="43"/>
        <v>-5.41</v>
      </c>
      <c r="Y69" s="2"/>
      <c r="Z69" s="6">
        <f t="shared" si="44"/>
        <v>0</v>
      </c>
    </row>
    <row r="70" spans="1:26" s="25" customFormat="1" outlineLevel="1" collapsed="1" x14ac:dyDescent="0.25">
      <c r="A70" s="27"/>
      <c r="B70" s="13" t="str">
        <f>CONCATENATE("     ","General                                           ")</f>
        <v xml:space="preserve">     General                                           </v>
      </c>
      <c r="C70" s="13"/>
      <c r="D70" s="1">
        <f>SUM(OSRRefD22_10x_0)</f>
        <v>891.32</v>
      </c>
      <c r="E70" s="1"/>
      <c r="F70" s="5">
        <f t="shared" si="37"/>
        <v>5.9795561864074247E-3</v>
      </c>
      <c r="G70" s="1"/>
      <c r="H70" s="1">
        <f>SUM(OSRRefH22_10x_0)</f>
        <v>430</v>
      </c>
      <c r="I70" s="1"/>
      <c r="J70" s="5">
        <f t="shared" si="38"/>
        <v>8.0808840111253099E-4</v>
      </c>
      <c r="K70" s="1"/>
      <c r="L70" s="1">
        <f t="shared" si="39"/>
        <v>461.32000000000005</v>
      </c>
      <c r="M70" s="1"/>
      <c r="N70" s="5">
        <f t="shared" si="40"/>
        <v>1.0728372093023257</v>
      </c>
      <c r="O70" s="13"/>
      <c r="P70" s="1">
        <f>SUM(OSRRefP22_10x_0)</f>
        <v>15020.23</v>
      </c>
      <c r="Q70" s="1"/>
      <c r="R70" s="5">
        <f t="shared" si="41"/>
        <v>1.2164857930362859E-2</v>
      </c>
      <c r="S70" s="1"/>
      <c r="T70" s="1">
        <f>SUM(OSRRefT22_10x_0)</f>
        <v>14900</v>
      </c>
      <c r="U70" s="1"/>
      <c r="V70" s="5">
        <f t="shared" si="42"/>
        <v>4.4600589745516219E-3</v>
      </c>
      <c r="W70" s="1"/>
      <c r="X70" s="1">
        <f t="shared" si="43"/>
        <v>120.22999999999956</v>
      </c>
      <c r="Y70" s="1"/>
      <c r="Z70" s="5">
        <f t="shared" si="44"/>
        <v>8.0691275167784939E-3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7">
        <v>891.32</v>
      </c>
      <c r="E71" s="2"/>
      <c r="F71" s="6">
        <f t="shared" si="37"/>
        <v>5.9795561864074247E-3</v>
      </c>
      <c r="G71" s="2"/>
      <c r="H71" s="7">
        <v>430</v>
      </c>
      <c r="I71" s="2"/>
      <c r="J71" s="6">
        <f t="shared" si="38"/>
        <v>8.0808840111253099E-4</v>
      </c>
      <c r="K71" s="2"/>
      <c r="L71" s="7">
        <f t="shared" si="39"/>
        <v>461.32000000000005</v>
      </c>
      <c r="M71" s="2"/>
      <c r="N71" s="6">
        <f t="shared" si="40"/>
        <v>1.0728372093023257</v>
      </c>
      <c r="O71" s="11"/>
      <c r="P71" s="7">
        <v>15020.23</v>
      </c>
      <c r="Q71" s="2"/>
      <c r="R71" s="6">
        <f t="shared" si="41"/>
        <v>1.2164857930362859E-2</v>
      </c>
      <c r="S71" s="2"/>
      <c r="T71" s="7">
        <v>14900</v>
      </c>
      <c r="U71" s="2"/>
      <c r="V71" s="6">
        <f t="shared" si="42"/>
        <v>4.4600589745516219E-3</v>
      </c>
      <c r="W71" s="2"/>
      <c r="X71" s="7">
        <f t="shared" si="43"/>
        <v>120.22999999999956</v>
      </c>
      <c r="Y71" s="2"/>
      <c r="Z71" s="6">
        <f t="shared" si="44"/>
        <v>8.0691275167784939E-3</v>
      </c>
    </row>
    <row r="72" spans="1:26" s="25" customFormat="1" outlineLevel="1" collapsed="1" x14ac:dyDescent="0.25">
      <c r="A72" s="27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SUM(OSRRefD22_11x_0)</f>
        <v>4246.03</v>
      </c>
      <c r="E72" s="1"/>
      <c r="F72" s="5">
        <f t="shared" si="37"/>
        <v>2.8485139965636935E-2</v>
      </c>
      <c r="G72" s="1"/>
      <c r="H72" s="1">
        <f>SUM(OSRRefH22_11x_0)</f>
        <v>4572</v>
      </c>
      <c r="I72" s="1"/>
      <c r="J72" s="5">
        <f t="shared" si="38"/>
        <v>8.5920469067127716E-3</v>
      </c>
      <c r="K72" s="1"/>
      <c r="L72" s="1">
        <f t="shared" si="39"/>
        <v>-325.97000000000025</v>
      </c>
      <c r="M72" s="1"/>
      <c r="N72" s="5">
        <f t="shared" si="40"/>
        <v>-7.1297025371828582E-2</v>
      </c>
      <c r="O72" s="13"/>
      <c r="P72" s="1">
        <f>SUM(OSRRefP22_11x_0)</f>
        <v>44326.27</v>
      </c>
      <c r="Q72" s="1"/>
      <c r="R72" s="5">
        <f t="shared" si="41"/>
        <v>3.5899768321317665E-2</v>
      </c>
      <c r="S72" s="1"/>
      <c r="T72" s="1">
        <f>SUM(OSRRefT22_11x_0)</f>
        <v>41148</v>
      </c>
      <c r="U72" s="1"/>
      <c r="V72" s="5">
        <f t="shared" si="42"/>
        <v>1.2316946757372492E-2</v>
      </c>
      <c r="W72" s="1"/>
      <c r="X72" s="1">
        <f t="shared" si="43"/>
        <v>3178.2699999999968</v>
      </c>
      <c r="Y72" s="1"/>
      <c r="Z72" s="5">
        <f t="shared" si="44"/>
        <v>7.7239963060172959E-2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7">
        <v>4246.03</v>
      </c>
      <c r="E73" s="2"/>
      <c r="F73" s="6">
        <f t="shared" si="37"/>
        <v>2.8485139965636935E-2</v>
      </c>
      <c r="G73" s="2"/>
      <c r="H73" s="7">
        <v>4572</v>
      </c>
      <c r="I73" s="2"/>
      <c r="J73" s="6">
        <f t="shared" si="38"/>
        <v>8.5920469067127716E-3</v>
      </c>
      <c r="K73" s="2"/>
      <c r="L73" s="7">
        <f t="shared" si="39"/>
        <v>-325.97000000000025</v>
      </c>
      <c r="M73" s="2"/>
      <c r="N73" s="6">
        <f t="shared" si="40"/>
        <v>-7.1297025371828582E-2</v>
      </c>
      <c r="O73" s="11"/>
      <c r="P73" s="7">
        <v>44326.27</v>
      </c>
      <c r="Q73" s="2"/>
      <c r="R73" s="6">
        <f t="shared" si="41"/>
        <v>3.5899768321317665E-2</v>
      </c>
      <c r="S73" s="2"/>
      <c r="T73" s="7">
        <v>41148</v>
      </c>
      <c r="U73" s="2"/>
      <c r="V73" s="6">
        <f t="shared" si="42"/>
        <v>1.2316946757372492E-2</v>
      </c>
      <c r="W73" s="2"/>
      <c r="X73" s="7">
        <f t="shared" si="43"/>
        <v>3178.2699999999968</v>
      </c>
      <c r="Y73" s="2"/>
      <c r="Z73" s="6">
        <f t="shared" si="44"/>
        <v>7.7239963060172959E-2</v>
      </c>
    </row>
    <row r="74" spans="1:26" s="25" customFormat="1" outlineLevel="1" collapsed="1" x14ac:dyDescent="0.25">
      <c r="A74" s="27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SUM(OSRRefD22_12x_0)</f>
        <v>7510</v>
      </c>
      <c r="E74" s="1"/>
      <c r="F74" s="5">
        <f t="shared" si="37"/>
        <v>5.038198061293335E-2</v>
      </c>
      <c r="G74" s="1"/>
      <c r="H74" s="1">
        <f>SUM(OSRRefH22_12x_0)</f>
        <v>7510</v>
      </c>
      <c r="I74" s="1"/>
      <c r="J74" s="5">
        <f t="shared" si="38"/>
        <v>1.4113357889197925E-2</v>
      </c>
      <c r="K74" s="1"/>
      <c r="L74" s="1">
        <f t="shared" si="39"/>
        <v>0</v>
      </c>
      <c r="M74" s="1"/>
      <c r="N74" s="5">
        <f t="shared" si="40"/>
        <v>0</v>
      </c>
      <c r="O74" s="13"/>
      <c r="P74" s="1">
        <f>SUM(OSRRefP22_12x_0)</f>
        <v>67103.149999999994</v>
      </c>
      <c r="Q74" s="1"/>
      <c r="R74" s="5">
        <f t="shared" si="41"/>
        <v>5.4346723480920629E-2</v>
      </c>
      <c r="S74" s="1"/>
      <c r="T74" s="1">
        <f>SUM(OSRRefT22_12x_0)</f>
        <v>67590</v>
      </c>
      <c r="U74" s="1"/>
      <c r="V74" s="5">
        <f t="shared" si="42"/>
        <v>2.0231905106707658E-2</v>
      </c>
      <c r="W74" s="1"/>
      <c r="X74" s="1">
        <f t="shared" si="43"/>
        <v>-486.85000000000582</v>
      </c>
      <c r="Y74" s="1"/>
      <c r="Z74" s="5">
        <f t="shared" si="44"/>
        <v>-7.2029886077823024E-3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7">
        <v>7510</v>
      </c>
      <c r="E75" s="2"/>
      <c r="F75" s="6">
        <f t="shared" si="37"/>
        <v>5.038198061293335E-2</v>
      </c>
      <c r="G75" s="2"/>
      <c r="H75" s="7">
        <v>7510</v>
      </c>
      <c r="I75" s="2"/>
      <c r="J75" s="6">
        <f t="shared" si="38"/>
        <v>1.4113357889197925E-2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>
        <v>67103.149999999994</v>
      </c>
      <c r="Q75" s="2"/>
      <c r="R75" s="6">
        <f t="shared" si="41"/>
        <v>5.4346723480920629E-2</v>
      </c>
      <c r="S75" s="2"/>
      <c r="T75" s="7">
        <v>67590</v>
      </c>
      <c r="U75" s="2"/>
      <c r="V75" s="6">
        <f t="shared" si="42"/>
        <v>2.0231905106707658E-2</v>
      </c>
      <c r="W75" s="2"/>
      <c r="X75" s="7">
        <f t="shared" si="43"/>
        <v>-486.85000000000582</v>
      </c>
      <c r="Y75" s="2"/>
      <c r="Z75" s="6">
        <f t="shared" si="44"/>
        <v>-7.2029886077823024E-3</v>
      </c>
    </row>
    <row r="76" spans="1:26" s="25" customFormat="1" outlineLevel="1" collapsed="1" x14ac:dyDescent="0.25">
      <c r="A76" s="27"/>
      <c r="B76" s="13" t="str">
        <f>CONCATENATE("     ","R/H Commissions                                   ")</f>
        <v xml:space="preserve">     R/H Commissions                                   </v>
      </c>
      <c r="C76" s="13"/>
      <c r="D76" s="1">
        <f>SUM(OSRRefD22_13x_0)</f>
        <v>6756.75</v>
      </c>
      <c r="E76" s="1"/>
      <c r="F76" s="5">
        <f t="shared" si="37"/>
        <v>4.5328688083413775E-2</v>
      </c>
      <c r="G76" s="1"/>
      <c r="H76" s="1">
        <f>SUM(OSRRefH22_13x_0)</f>
        <v>40097</v>
      </c>
      <c r="I76" s="1"/>
      <c r="J76" s="5">
        <f t="shared" si="38"/>
        <v>7.5353303766067803E-2</v>
      </c>
      <c r="K76" s="1"/>
      <c r="L76" s="1">
        <f t="shared" si="39"/>
        <v>-33340.25</v>
      </c>
      <c r="M76" s="1"/>
      <c r="N76" s="5">
        <f t="shared" si="40"/>
        <v>-0.83148988702396687</v>
      </c>
      <c r="O76" s="13"/>
      <c r="P76" s="1">
        <f>SUM(OSRRefP22_13x_0)</f>
        <v>59012.6</v>
      </c>
      <c r="Q76" s="1"/>
      <c r="R76" s="5">
        <f t="shared" si="41"/>
        <v>4.7794201227366773E-2</v>
      </c>
      <c r="S76" s="1"/>
      <c r="T76" s="1">
        <f>SUM(OSRRefT22_13x_0)</f>
        <v>253999</v>
      </c>
      <c r="U76" s="1"/>
      <c r="V76" s="5">
        <f t="shared" si="42"/>
        <v>7.6030236206519289E-2</v>
      </c>
      <c r="W76" s="1"/>
      <c r="X76" s="1">
        <f t="shared" si="43"/>
        <v>-194986.4</v>
      </c>
      <c r="Y76" s="1"/>
      <c r="Z76" s="5">
        <f t="shared" si="44"/>
        <v>-0.76766601443312765</v>
      </c>
    </row>
    <row r="77" spans="1:26" s="24" customFormat="1" hidden="1" outlineLevel="2" x14ac:dyDescent="0.25">
      <c r="A77" s="26"/>
      <c r="B77" s="11" t="str">
        <f>CONCATENATE("          ", "6387", " - ", "COMMISSION DUE HOUSING")</f>
        <v xml:space="preserve">          6387 - COMMISSION DUE HOUSING</v>
      </c>
      <c r="C77" s="11"/>
      <c r="D77" s="7">
        <v>6756.75</v>
      </c>
      <c r="E77" s="2"/>
      <c r="F77" s="6">
        <f t="shared" si="37"/>
        <v>4.5328688083413775E-2</v>
      </c>
      <c r="G77" s="2"/>
      <c r="H77" s="7">
        <v>40097</v>
      </c>
      <c r="I77" s="2"/>
      <c r="J77" s="6">
        <f t="shared" si="38"/>
        <v>7.5353303766067803E-2</v>
      </c>
      <c r="K77" s="2"/>
      <c r="L77" s="7">
        <f t="shared" si="39"/>
        <v>-33340.25</v>
      </c>
      <c r="M77" s="2"/>
      <c r="N77" s="6">
        <f t="shared" si="40"/>
        <v>-0.83148988702396687</v>
      </c>
      <c r="O77" s="11"/>
      <c r="P77" s="7">
        <v>59012.6</v>
      </c>
      <c r="Q77" s="2"/>
      <c r="R77" s="6">
        <f t="shared" si="41"/>
        <v>4.7794201227366773E-2</v>
      </c>
      <c r="S77" s="2"/>
      <c r="T77" s="7">
        <v>253999</v>
      </c>
      <c r="U77" s="2"/>
      <c r="V77" s="6">
        <f t="shared" si="42"/>
        <v>7.6030236206519289E-2</v>
      </c>
      <c r="W77" s="2"/>
      <c r="X77" s="7">
        <f t="shared" si="43"/>
        <v>-194986.4</v>
      </c>
      <c r="Y77" s="2"/>
      <c r="Z77" s="6">
        <f t="shared" si="44"/>
        <v>-0.76766601443312765</v>
      </c>
    </row>
    <row r="78" spans="1:26" s="25" customFormat="1" outlineLevel="1" collapsed="1" x14ac:dyDescent="0.25">
      <c r="A78" s="27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SUM(OSRRefD22_14x_0)</f>
        <v>0</v>
      </c>
      <c r="E78" s="1"/>
      <c r="F78" s="5">
        <f t="shared" si="37"/>
        <v>0</v>
      </c>
      <c r="G78" s="1"/>
      <c r="H78" s="1">
        <f>SUM(OSRRefH22_14x_0)</f>
        <v>1943</v>
      </c>
      <c r="I78" s="1"/>
      <c r="J78" s="5">
        <f t="shared" si="38"/>
        <v>3.6514320078177855E-3</v>
      </c>
      <c r="K78" s="1"/>
      <c r="L78" s="1">
        <f t="shared" si="39"/>
        <v>-1943</v>
      </c>
      <c r="M78" s="1"/>
      <c r="N78" s="5">
        <f t="shared" si="40"/>
        <v>-1</v>
      </c>
      <c r="O78" s="13"/>
      <c r="P78" s="1">
        <f>SUM(OSRRefP22_14x_0)</f>
        <v>11100</v>
      </c>
      <c r="Q78" s="1"/>
      <c r="R78" s="5">
        <f t="shared" si="41"/>
        <v>8.9898705297473958E-3</v>
      </c>
      <c r="S78" s="1"/>
      <c r="T78" s="1">
        <f>SUM(OSRRefT22_14x_0)</f>
        <v>17487</v>
      </c>
      <c r="U78" s="1"/>
      <c r="V78" s="5">
        <f t="shared" si="42"/>
        <v>5.2344329723479337E-3</v>
      </c>
      <c r="W78" s="1"/>
      <c r="X78" s="1">
        <f t="shared" si="43"/>
        <v>-6387</v>
      </c>
      <c r="Y78" s="1"/>
      <c r="Z78" s="5">
        <f t="shared" si="44"/>
        <v>-0.36524275175844911</v>
      </c>
    </row>
    <row r="79" spans="1:26" s="24" customFormat="1" hidden="1" outlineLevel="2" x14ac:dyDescent="0.25">
      <c r="A79" s="26"/>
      <c r="B79" s="11" t="str">
        <f>CONCATENATE("          ", "6273", " - ", "RENT")</f>
        <v xml:space="preserve">          6273 - RENT</v>
      </c>
      <c r="C79" s="11"/>
      <c r="D79" s="7"/>
      <c r="E79" s="2"/>
      <c r="F79" s="6">
        <f t="shared" si="37"/>
        <v>0</v>
      </c>
      <c r="G79" s="2"/>
      <c r="H79" s="7">
        <v>1943</v>
      </c>
      <c r="I79" s="2"/>
      <c r="J79" s="6">
        <f t="shared" si="38"/>
        <v>3.6514320078177855E-3</v>
      </c>
      <c r="K79" s="2"/>
      <c r="L79" s="7">
        <f t="shared" si="39"/>
        <v>-1943</v>
      </c>
      <c r="M79" s="2"/>
      <c r="N79" s="6">
        <f t="shared" si="40"/>
        <v>-1</v>
      </c>
      <c r="O79" s="11"/>
      <c r="P79" s="7">
        <v>11100</v>
      </c>
      <c r="Q79" s="2"/>
      <c r="R79" s="6">
        <f t="shared" si="41"/>
        <v>8.9898705297473958E-3</v>
      </c>
      <c r="S79" s="2"/>
      <c r="T79" s="7">
        <v>17487</v>
      </c>
      <c r="U79" s="2"/>
      <c r="V79" s="6">
        <f t="shared" si="42"/>
        <v>5.2344329723479337E-3</v>
      </c>
      <c r="W79" s="2"/>
      <c r="X79" s="7">
        <f t="shared" si="43"/>
        <v>-6387</v>
      </c>
      <c r="Y79" s="2"/>
      <c r="Z79" s="6">
        <f t="shared" si="44"/>
        <v>-0.36524275175844911</v>
      </c>
    </row>
    <row r="80" spans="1:26" s="25" customFormat="1" outlineLevel="1" collapsed="1" x14ac:dyDescent="0.25">
      <c r="A80" s="27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SUM(OSRRefD22_15x_0)</f>
        <v>20791.330000000002</v>
      </c>
      <c r="E80" s="1"/>
      <c r="F80" s="5">
        <f t="shared" si="37"/>
        <v>0.13948180891838877</v>
      </c>
      <c r="G80" s="1"/>
      <c r="H80" s="1">
        <f>SUM(OSRRefH22_15x_0)</f>
        <v>1608</v>
      </c>
      <c r="I80" s="1"/>
      <c r="J80" s="5">
        <f t="shared" si="38"/>
        <v>3.0218747650905811E-3</v>
      </c>
      <c r="K80" s="1"/>
      <c r="L80" s="1">
        <f t="shared" si="39"/>
        <v>19183.330000000002</v>
      </c>
      <c r="M80" s="1"/>
      <c r="N80" s="5">
        <f t="shared" si="40"/>
        <v>11.929931592039802</v>
      </c>
      <c r="O80" s="13"/>
      <c r="P80" s="1">
        <f>SUM(OSRRefP22_15x_0)</f>
        <v>60855.119999999995</v>
      </c>
      <c r="Q80" s="1"/>
      <c r="R80" s="5">
        <f t="shared" si="41"/>
        <v>4.9286454943445163E-2</v>
      </c>
      <c r="S80" s="1"/>
      <c r="T80" s="1">
        <f>SUM(OSRRefT22_15x_0)</f>
        <v>91863</v>
      </c>
      <c r="U80" s="1"/>
      <c r="V80" s="5">
        <f t="shared" si="42"/>
        <v>2.7497610575787628E-2</v>
      </c>
      <c r="W80" s="1"/>
      <c r="X80" s="1">
        <f t="shared" si="43"/>
        <v>-31007.880000000005</v>
      </c>
      <c r="Y80" s="1"/>
      <c r="Z80" s="5">
        <f t="shared" si="44"/>
        <v>-0.33754482218085635</v>
      </c>
    </row>
    <row r="81" spans="1:26" s="24" customFormat="1" hidden="1" outlineLevel="2" x14ac:dyDescent="0.25">
      <c r="A81" s="26"/>
      <c r="B81" s="11" t="str">
        <f>CONCATENATE("          ", "6371", " - ", "COMPUTER SOFTWARE MAINTENANCE")</f>
        <v xml:space="preserve">          6371 - COMPUTER SOFTWARE MAINTENANCE</v>
      </c>
      <c r="C81" s="11"/>
      <c r="D81" s="7">
        <v>3500</v>
      </c>
      <c r="E81" s="2"/>
      <c r="F81" s="6">
        <f t="shared" si="37"/>
        <v>2.3480283907492242E-2</v>
      </c>
      <c r="G81" s="2"/>
      <c r="H81" s="7"/>
      <c r="I81" s="2"/>
      <c r="J81" s="6">
        <f t="shared" si="38"/>
        <v>0</v>
      </c>
      <c r="K81" s="2"/>
      <c r="L81" s="7">
        <f t="shared" si="39"/>
        <v>3500</v>
      </c>
      <c r="M81" s="2"/>
      <c r="N81" s="6">
        <f t="shared" si="40"/>
        <v>0</v>
      </c>
      <c r="O81" s="11"/>
      <c r="P81" s="7">
        <v>14702.27</v>
      </c>
      <c r="Q81" s="2"/>
      <c r="R81" s="6">
        <f t="shared" si="41"/>
        <v>1.1907342684089122E-2</v>
      </c>
      <c r="S81" s="2"/>
      <c r="T81" s="7">
        <v>56745</v>
      </c>
      <c r="U81" s="2"/>
      <c r="V81" s="6">
        <f t="shared" si="42"/>
        <v>1.6985640705431664E-2</v>
      </c>
      <c r="W81" s="2"/>
      <c r="X81" s="7">
        <f t="shared" si="43"/>
        <v>-42042.729999999996</v>
      </c>
      <c r="Y81" s="2"/>
      <c r="Z81" s="6">
        <f t="shared" si="44"/>
        <v>-0.74090633535994355</v>
      </c>
    </row>
    <row r="82" spans="1:26" s="24" customFormat="1" hidden="1" outlineLevel="2" x14ac:dyDescent="0.25">
      <c r="A82" s="26"/>
      <c r="B82" s="11" t="str">
        <f>CONCATENATE("          ", "6372", " - ", "COMPUTER HARDWARE MAINTENANCE")</f>
        <v xml:space="preserve">          6372 - COMPUTER HARDWARE MAINTENANCE</v>
      </c>
      <c r="C82" s="11"/>
      <c r="D82" s="7">
        <v>100</v>
      </c>
      <c r="E82" s="2"/>
      <c r="F82" s="6">
        <f t="shared" si="37"/>
        <v>6.7086525449977833E-4</v>
      </c>
      <c r="G82" s="2"/>
      <c r="H82" s="7"/>
      <c r="I82" s="2"/>
      <c r="J82" s="6">
        <f t="shared" si="38"/>
        <v>0</v>
      </c>
      <c r="K82" s="2"/>
      <c r="L82" s="7">
        <f t="shared" si="39"/>
        <v>100</v>
      </c>
      <c r="M82" s="2"/>
      <c r="N82" s="6">
        <f t="shared" si="40"/>
        <v>0</v>
      </c>
      <c r="O82" s="11"/>
      <c r="P82" s="7">
        <v>100</v>
      </c>
      <c r="Q82" s="2"/>
      <c r="R82" s="6">
        <f t="shared" si="41"/>
        <v>8.0989824592318885E-5</v>
      </c>
      <c r="S82" s="2"/>
      <c r="T82" s="7">
        <v>3083</v>
      </c>
      <c r="U82" s="2"/>
      <c r="V82" s="6">
        <f t="shared" si="42"/>
        <v>9.2284307506997651E-4</v>
      </c>
      <c r="W82" s="2"/>
      <c r="X82" s="7">
        <f t="shared" si="43"/>
        <v>-2983</v>
      </c>
      <c r="Y82" s="2"/>
      <c r="Z82" s="6">
        <f t="shared" si="44"/>
        <v>-0.96756406097956538</v>
      </c>
    </row>
    <row r="83" spans="1:26" s="24" customFormat="1" hidden="1" outlineLevel="2" x14ac:dyDescent="0.25">
      <c r="A83" s="26"/>
      <c r="B83" s="11" t="str">
        <f>CONCATENATE("          ", "6373", " - ", "MAINTENANCE CONTRACTS")</f>
        <v xml:space="preserve">          6373 - MAINTENANCE CONTRACTS</v>
      </c>
      <c r="C83" s="11"/>
      <c r="D83" s="7">
        <v>7443.98</v>
      </c>
      <c r="E83" s="2"/>
      <c r="F83" s="6">
        <f t="shared" si="37"/>
        <v>4.9939075371912597E-2</v>
      </c>
      <c r="G83" s="2"/>
      <c r="H83" s="7">
        <v>58</v>
      </c>
      <c r="I83" s="2"/>
      <c r="J83" s="6">
        <f t="shared" si="38"/>
        <v>1.0899797038262046E-4</v>
      </c>
      <c r="K83" s="2"/>
      <c r="L83" s="7">
        <f t="shared" si="39"/>
        <v>7385.98</v>
      </c>
      <c r="M83" s="2"/>
      <c r="N83" s="6">
        <f t="shared" si="40"/>
        <v>127.34448275862069</v>
      </c>
      <c r="O83" s="11"/>
      <c r="P83" s="7">
        <v>21450.87</v>
      </c>
      <c r="Q83" s="2"/>
      <c r="R83" s="6">
        <f t="shared" si="41"/>
        <v>1.7373021986526353E-2</v>
      </c>
      <c r="S83" s="2"/>
      <c r="T83" s="7">
        <v>9691</v>
      </c>
      <c r="U83" s="2"/>
      <c r="V83" s="6">
        <f t="shared" si="42"/>
        <v>2.9008343303610581E-3</v>
      </c>
      <c r="W83" s="2"/>
      <c r="X83" s="7">
        <f t="shared" si="43"/>
        <v>11759.869999999999</v>
      </c>
      <c r="Y83" s="2"/>
      <c r="Z83" s="6">
        <f t="shared" si="44"/>
        <v>1.2134836446187183</v>
      </c>
    </row>
    <row r="84" spans="1:26" s="24" customFormat="1" hidden="1" outlineLevel="2" x14ac:dyDescent="0.25">
      <c r="A84" s="26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9747.35</v>
      </c>
      <c r="E84" s="2"/>
      <c r="F84" s="6">
        <f t="shared" si="37"/>
        <v>6.5391584384484142E-2</v>
      </c>
      <c r="G84" s="2"/>
      <c r="H84" s="7">
        <v>1550</v>
      </c>
      <c r="I84" s="2"/>
      <c r="J84" s="6">
        <f t="shared" si="38"/>
        <v>2.9128767947079605E-3</v>
      </c>
      <c r="K84" s="2"/>
      <c r="L84" s="7">
        <f t="shared" si="39"/>
        <v>8197.35</v>
      </c>
      <c r="M84" s="2"/>
      <c r="N84" s="6">
        <f t="shared" si="40"/>
        <v>5.2886129032258067</v>
      </c>
      <c r="O84" s="11"/>
      <c r="P84" s="7">
        <v>24601.98</v>
      </c>
      <c r="Q84" s="2"/>
      <c r="R84" s="6">
        <f t="shared" si="41"/>
        <v>1.9925100448237375E-2</v>
      </c>
      <c r="S84" s="2"/>
      <c r="T84" s="7">
        <v>22344</v>
      </c>
      <c r="U84" s="2"/>
      <c r="V84" s="6">
        <f t="shared" si="42"/>
        <v>6.6882924649249286E-3</v>
      </c>
      <c r="W84" s="2"/>
      <c r="X84" s="7">
        <f t="shared" si="43"/>
        <v>2257.9799999999996</v>
      </c>
      <c r="Y84" s="2"/>
      <c r="Z84" s="6">
        <f t="shared" si="44"/>
        <v>0.10105531686358753</v>
      </c>
    </row>
    <row r="85" spans="1:26" s="25" customFormat="1" outlineLevel="1" collapsed="1" x14ac:dyDescent="0.25">
      <c r="A85" s="27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SUM(OSRRefD22_16x_0)</f>
        <v>0</v>
      </c>
      <c r="E85" s="1"/>
      <c r="F85" s="5">
        <f t="shared" ref="F85:F87" si="45">IF(D$12=0,0,D85/D$12)</f>
        <v>0</v>
      </c>
      <c r="G85" s="1"/>
      <c r="H85" s="1">
        <f>SUM(OSRRefH22_16x_0)</f>
        <v>0</v>
      </c>
      <c r="I85" s="1"/>
      <c r="J85" s="5">
        <f t="shared" ref="J85:J87" si="46">IF(H$12=0,0,H85/H$12)</f>
        <v>0</v>
      </c>
      <c r="K85" s="1"/>
      <c r="L85" s="1">
        <f t="shared" ref="L85:L87" si="47">+D85-H85</f>
        <v>0</v>
      </c>
      <c r="M85" s="1"/>
      <c r="N85" s="5">
        <f t="shared" ref="N85:N87" si="48">IF(H85=0,0,L85/H85)</f>
        <v>0</v>
      </c>
      <c r="O85" s="13"/>
      <c r="P85" s="1">
        <f>SUM(OSRRefP22_16x_0)</f>
        <v>0</v>
      </c>
      <c r="Q85" s="1"/>
      <c r="R85" s="5">
        <f t="shared" ref="R85:R87" si="49">IF(P$12=0,0,P85/P$12)</f>
        <v>0</v>
      </c>
      <c r="S85" s="1"/>
      <c r="T85" s="1">
        <f>SUM(OSRRefT22_16x_0)</f>
        <v>0</v>
      </c>
      <c r="U85" s="1"/>
      <c r="V85" s="5">
        <f t="shared" ref="V85:V87" si="50">IF(T$12=0,0,T85/T$12)</f>
        <v>0</v>
      </c>
      <c r="W85" s="1"/>
      <c r="X85" s="1">
        <f t="shared" ref="X85:X87" si="51">+P85-T85</f>
        <v>0</v>
      </c>
      <c r="Y85" s="1"/>
      <c r="Z85" s="5">
        <f t="shared" ref="Z85:Z87" si="52">IF(T85=0,0,X85/T85)</f>
        <v>0</v>
      </c>
    </row>
    <row r="86" spans="1:26" s="24" customFormat="1" hidden="1" outlineLevel="2" x14ac:dyDescent="0.25">
      <c r="A86" s="26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45"/>
        <v>0</v>
      </c>
      <c r="G86" s="2"/>
      <c r="H86" s="7">
        <v>0</v>
      </c>
      <c r="I86" s="2"/>
      <c r="J86" s="6">
        <f t="shared" si="46"/>
        <v>0</v>
      </c>
      <c r="K86" s="2"/>
      <c r="L86" s="7">
        <f t="shared" si="47"/>
        <v>0</v>
      </c>
      <c r="M86" s="2"/>
      <c r="N86" s="6">
        <f t="shared" si="48"/>
        <v>0</v>
      </c>
      <c r="O86" s="11"/>
      <c r="P86" s="7"/>
      <c r="Q86" s="2"/>
      <c r="R86" s="6">
        <f t="shared" si="49"/>
        <v>0</v>
      </c>
      <c r="S86" s="2"/>
      <c r="T86" s="7">
        <v>0</v>
      </c>
      <c r="U86" s="2"/>
      <c r="V86" s="6">
        <f t="shared" si="50"/>
        <v>0</v>
      </c>
      <c r="W86" s="2"/>
      <c r="X86" s="7">
        <f t="shared" si="51"/>
        <v>0</v>
      </c>
      <c r="Y86" s="2"/>
      <c r="Z86" s="6">
        <f t="shared" si="52"/>
        <v>0</v>
      </c>
    </row>
    <row r="87" spans="1:26" s="24" customFormat="1" hidden="1" outlineLevel="2" x14ac:dyDescent="0.25">
      <c r="A87" s="26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45"/>
        <v>0</v>
      </c>
      <c r="G87" s="2"/>
      <c r="H87" s="7">
        <v>0</v>
      </c>
      <c r="I87" s="2"/>
      <c r="J87" s="6">
        <f t="shared" si="46"/>
        <v>0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/>
      <c r="Q87" s="2"/>
      <c r="R87" s="6">
        <f t="shared" si="49"/>
        <v>0</v>
      </c>
      <c r="S87" s="2"/>
      <c r="T87" s="7">
        <v>0</v>
      </c>
      <c r="U87" s="2"/>
      <c r="V87" s="6">
        <f t="shared" si="50"/>
        <v>0</v>
      </c>
      <c r="W87" s="2"/>
      <c r="X87" s="7">
        <f t="shared" si="51"/>
        <v>0</v>
      </c>
      <c r="Y87" s="2"/>
      <c r="Z87" s="6">
        <f t="shared" si="52"/>
        <v>0</v>
      </c>
    </row>
    <row r="88" spans="1:26" s="25" customFormat="1" outlineLevel="1" collapsed="1" x14ac:dyDescent="0.25">
      <c r="A88" s="27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SUM(OSRRefD22_17x_0)</f>
        <v>9446.7899999999991</v>
      </c>
      <c r="E88" s="1"/>
      <c r="F88" s="5">
        <f t="shared" ref="F88:F93" si="53">IF(D$12=0,0,D88/D$12)</f>
        <v>6.3375231775559607E-2</v>
      </c>
      <c r="G88" s="1"/>
      <c r="H88" s="1">
        <f>SUM(OSRRefH22_17x_0)</f>
        <v>27487</v>
      </c>
      <c r="I88" s="1"/>
      <c r="J88" s="5">
        <f t="shared" ref="J88:J93" si="54">IF(H$12=0,0,H88/H$12)</f>
        <v>5.1655641584604978E-2</v>
      </c>
      <c r="K88" s="1"/>
      <c r="L88" s="1">
        <f t="shared" ref="L88:L93" si="55">+D88-H88</f>
        <v>-18040.21</v>
      </c>
      <c r="M88" s="1"/>
      <c r="N88" s="5">
        <f t="shared" ref="N88:N93" si="56">IF(H88=0,0,L88/H88)</f>
        <v>-0.65631789573252808</v>
      </c>
      <c r="O88" s="13"/>
      <c r="P88" s="1">
        <f>SUM(OSRRefP22_17x_0)</f>
        <v>148651.85999999999</v>
      </c>
      <c r="Q88" s="1"/>
      <c r="R88" s="5">
        <f t="shared" ref="R88:R93" si="57">IF(P$12=0,0,P88/P$12)</f>
        <v>0.12039288066721943</v>
      </c>
      <c r="S88" s="1"/>
      <c r="T88" s="1">
        <f>SUM(OSRRefT22_17x_0)</f>
        <v>240048</v>
      </c>
      <c r="U88" s="1"/>
      <c r="V88" s="5">
        <f t="shared" ref="V88:V93" si="58">IF(T$12=0,0,T88/T$12)</f>
        <v>7.185424407538038E-2</v>
      </c>
      <c r="W88" s="1"/>
      <c r="X88" s="1">
        <f t="shared" ref="X88:X93" si="59">+P88-T88</f>
        <v>-91396.140000000014</v>
      </c>
      <c r="Y88" s="1"/>
      <c r="Z88" s="5">
        <f t="shared" ref="Z88:Z93" si="60">IF(T88=0,0,X88/T88)</f>
        <v>-0.38074110177964415</v>
      </c>
    </row>
    <row r="89" spans="1:26" s="24" customFormat="1" hidden="1" outlineLevel="2" x14ac:dyDescent="0.25">
      <c r="A89" s="26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3759</v>
      </c>
      <c r="E89" s="2"/>
      <c r="F89" s="6">
        <f t="shared" si="53"/>
        <v>2.5217824916646668E-2</v>
      </c>
      <c r="G89" s="2"/>
      <c r="H89" s="7">
        <v>3033</v>
      </c>
      <c r="I89" s="2"/>
      <c r="J89" s="6">
        <f t="shared" si="54"/>
        <v>5.6998421408704803E-3</v>
      </c>
      <c r="K89" s="2"/>
      <c r="L89" s="7">
        <f t="shared" si="55"/>
        <v>726</v>
      </c>
      <c r="M89" s="2"/>
      <c r="N89" s="6">
        <f t="shared" si="56"/>
        <v>0.23936696340257171</v>
      </c>
      <c r="O89" s="11"/>
      <c r="P89" s="7">
        <v>20500.02</v>
      </c>
      <c r="Q89" s="2"/>
      <c r="R89" s="6">
        <f t="shared" si="57"/>
        <v>1.6602930239390291E-2</v>
      </c>
      <c r="S89" s="2"/>
      <c r="T89" s="7">
        <v>25299</v>
      </c>
      <c r="U89" s="2"/>
      <c r="V89" s="6">
        <f t="shared" si="58"/>
        <v>7.5728209394081529E-3</v>
      </c>
      <c r="W89" s="2"/>
      <c r="X89" s="7">
        <f t="shared" si="59"/>
        <v>-4798.9799999999996</v>
      </c>
      <c r="Y89" s="2"/>
      <c r="Z89" s="6">
        <f t="shared" si="60"/>
        <v>-0.18969050160085377</v>
      </c>
    </row>
    <row r="90" spans="1:26" s="24" customFormat="1" hidden="1" outlineLevel="2" x14ac:dyDescent="0.25">
      <c r="A90" s="26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53"/>
        <v>0</v>
      </c>
      <c r="G90" s="2"/>
      <c r="H90" s="7">
        <v>0</v>
      </c>
      <c r="I90" s="2"/>
      <c r="J90" s="6">
        <f t="shared" si="54"/>
        <v>0</v>
      </c>
      <c r="K90" s="2"/>
      <c r="L90" s="7">
        <f t="shared" si="55"/>
        <v>0</v>
      </c>
      <c r="M90" s="2"/>
      <c r="N90" s="6">
        <f t="shared" si="56"/>
        <v>0</v>
      </c>
      <c r="O90" s="11"/>
      <c r="P90" s="7"/>
      <c r="Q90" s="2"/>
      <c r="R90" s="6">
        <f t="shared" si="57"/>
        <v>0</v>
      </c>
      <c r="S90" s="2"/>
      <c r="T90" s="7">
        <v>310</v>
      </c>
      <c r="U90" s="2"/>
      <c r="V90" s="6">
        <f t="shared" si="58"/>
        <v>9.2793173296040459E-5</v>
      </c>
      <c r="W90" s="2"/>
      <c r="X90" s="7">
        <f t="shared" si="59"/>
        <v>-310</v>
      </c>
      <c r="Y90" s="2"/>
      <c r="Z90" s="6">
        <f t="shared" si="60"/>
        <v>-1</v>
      </c>
    </row>
    <row r="91" spans="1:26" s="24" customFormat="1" hidden="1" outlineLevel="2" x14ac:dyDescent="0.25">
      <c r="A91" s="26"/>
      <c r="B91" s="11" t="str">
        <f>CONCATENATE("          ", "6284", " - ", "TRASH REMOVAL EXPENSE")</f>
        <v xml:space="preserve">          6284 - TRASH REMOVAL EXPENSE</v>
      </c>
      <c r="C91" s="11"/>
      <c r="D91" s="7">
        <v>-8963</v>
      </c>
      <c r="E91" s="2"/>
      <c r="F91" s="6">
        <f t="shared" si="53"/>
        <v>-6.0129652760815132E-2</v>
      </c>
      <c r="G91" s="2"/>
      <c r="H91" s="7">
        <v>3761</v>
      </c>
      <c r="I91" s="2"/>
      <c r="J91" s="6">
        <f t="shared" si="54"/>
        <v>7.0679545967075093E-3</v>
      </c>
      <c r="K91" s="2"/>
      <c r="L91" s="7">
        <f t="shared" si="55"/>
        <v>-12724</v>
      </c>
      <c r="M91" s="2"/>
      <c r="N91" s="6">
        <f t="shared" si="56"/>
        <v>-3.3831427811752195</v>
      </c>
      <c r="O91" s="11"/>
      <c r="P91" s="7">
        <v>20925.75</v>
      </c>
      <c r="Q91" s="2"/>
      <c r="R91" s="6">
        <f t="shared" si="57"/>
        <v>1.6947728219627169E-2</v>
      </c>
      <c r="S91" s="2"/>
      <c r="T91" s="7">
        <v>31641</v>
      </c>
      <c r="U91" s="2"/>
      <c r="V91" s="6">
        <f t="shared" si="58"/>
        <v>9.4711896653548906E-3</v>
      </c>
      <c r="W91" s="2"/>
      <c r="X91" s="7">
        <f t="shared" si="59"/>
        <v>-10715.25</v>
      </c>
      <c r="Y91" s="2"/>
      <c r="Z91" s="6">
        <f t="shared" si="60"/>
        <v>-0.3386508011756898</v>
      </c>
    </row>
    <row r="92" spans="1:26" s="24" customFormat="1" hidden="1" outlineLevel="2" x14ac:dyDescent="0.25">
      <c r="A92" s="26"/>
      <c r="B92" s="11" t="str">
        <f>CONCATENATE("          ", "6285", " - ", "JANITORIAL SERVICES")</f>
        <v xml:space="preserve">          6285 - JANITORIAL SERVICES</v>
      </c>
      <c r="C92" s="11"/>
      <c r="D92" s="7">
        <v>13772.56</v>
      </c>
      <c r="E92" s="2"/>
      <c r="F92" s="6">
        <f t="shared" si="53"/>
        <v>9.2395319695134662E-2</v>
      </c>
      <c r="G92" s="2"/>
      <c r="H92" s="7">
        <v>16193</v>
      </c>
      <c r="I92" s="2"/>
      <c r="J92" s="6">
        <f t="shared" si="54"/>
        <v>3.0431105765616778E-2</v>
      </c>
      <c r="K92" s="2"/>
      <c r="L92" s="7">
        <f t="shared" si="55"/>
        <v>-2420.4400000000005</v>
      </c>
      <c r="M92" s="2"/>
      <c r="N92" s="6">
        <f t="shared" si="56"/>
        <v>-0.14947446427468664</v>
      </c>
      <c r="O92" s="11"/>
      <c r="P92" s="7">
        <v>93639.73</v>
      </c>
      <c r="Q92" s="2"/>
      <c r="R92" s="6">
        <f t="shared" si="57"/>
        <v>7.5838653075721005E-2</v>
      </c>
      <c r="S92" s="2"/>
      <c r="T92" s="7">
        <v>142298</v>
      </c>
      <c r="U92" s="2"/>
      <c r="V92" s="6">
        <f t="shared" si="58"/>
        <v>4.2594461205419244E-2</v>
      </c>
      <c r="W92" s="2"/>
      <c r="X92" s="7">
        <f t="shared" si="59"/>
        <v>-48658.270000000004</v>
      </c>
      <c r="Y92" s="2"/>
      <c r="Z92" s="6">
        <f t="shared" si="60"/>
        <v>-0.34194626769174552</v>
      </c>
    </row>
    <row r="93" spans="1:26" s="24" customFormat="1" hidden="1" outlineLevel="2" x14ac:dyDescent="0.25">
      <c r="A93" s="26"/>
      <c r="B93" s="11" t="str">
        <f>CONCATENATE("          ", "6286", " - ", "LAUNDRY EXPENSE")</f>
        <v xml:space="preserve">          6286 - LAUNDRY EXPENSE</v>
      </c>
      <c r="C93" s="11"/>
      <c r="D93" s="7">
        <v>878.23</v>
      </c>
      <c r="E93" s="2"/>
      <c r="F93" s="6">
        <f t="shared" si="53"/>
        <v>5.8917399245934036E-3</v>
      </c>
      <c r="G93" s="2"/>
      <c r="H93" s="7">
        <v>4500</v>
      </c>
      <c r="I93" s="2"/>
      <c r="J93" s="6">
        <f t="shared" si="54"/>
        <v>8.456739081410208E-3</v>
      </c>
      <c r="K93" s="2"/>
      <c r="L93" s="7">
        <f t="shared" si="55"/>
        <v>-3621.77</v>
      </c>
      <c r="M93" s="2"/>
      <c r="N93" s="6">
        <f t="shared" si="56"/>
        <v>-0.80483777777777776</v>
      </c>
      <c r="O93" s="11"/>
      <c r="P93" s="7">
        <v>13586.36</v>
      </c>
      <c r="Q93" s="2"/>
      <c r="R93" s="6">
        <f t="shared" si="57"/>
        <v>1.1003569132480977E-2</v>
      </c>
      <c r="S93" s="2"/>
      <c r="T93" s="7">
        <v>40500</v>
      </c>
      <c r="U93" s="2"/>
      <c r="V93" s="6">
        <f t="shared" si="58"/>
        <v>1.212297909190206E-2</v>
      </c>
      <c r="W93" s="2"/>
      <c r="X93" s="7">
        <f t="shared" si="59"/>
        <v>-26913.64</v>
      </c>
      <c r="Y93" s="2"/>
      <c r="Z93" s="6">
        <f t="shared" si="60"/>
        <v>-0.6645343209876543</v>
      </c>
    </row>
    <row r="94" spans="1:26" s="25" customFormat="1" outlineLevel="1" collapsed="1" x14ac:dyDescent="0.25">
      <c r="A94" s="27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SUM(OSRRefD22_18x_0)</f>
        <v>119.07</v>
      </c>
      <c r="E94" s="1"/>
      <c r="F94" s="5">
        <f t="shared" ref="F94:F96" si="61">IF(D$12=0,0,D94/D$12)</f>
        <v>7.9879925853288607E-4</v>
      </c>
      <c r="G94" s="1"/>
      <c r="H94" s="1">
        <f>SUM(OSRRefH22_18x_0)</f>
        <v>200</v>
      </c>
      <c r="I94" s="1"/>
      <c r="J94" s="5">
        <f t="shared" ref="J94:J96" si="62">IF(H$12=0,0,H94/H$12)</f>
        <v>3.7585507028489815E-4</v>
      </c>
      <c r="K94" s="1"/>
      <c r="L94" s="1">
        <f t="shared" ref="L94:L96" si="63">+D94-H94</f>
        <v>-80.930000000000007</v>
      </c>
      <c r="M94" s="1"/>
      <c r="N94" s="5">
        <f t="shared" ref="N94:N96" si="64">IF(H94=0,0,L94/H94)</f>
        <v>-0.40465000000000001</v>
      </c>
      <c r="O94" s="13"/>
      <c r="P94" s="1">
        <f>SUM(OSRRefP22_18x_0)</f>
        <v>1711.08</v>
      </c>
      <c r="Q94" s="1"/>
      <c r="R94" s="5">
        <f t="shared" ref="R94:R96" si="65">IF(P$12=0,0,P94/P$12)</f>
        <v>1.3858006906342501E-3</v>
      </c>
      <c r="S94" s="1"/>
      <c r="T94" s="1">
        <f>SUM(OSRRefT22_18x_0)</f>
        <v>2681</v>
      </c>
      <c r="U94" s="1"/>
      <c r="V94" s="5">
        <f t="shared" ref="V94:V96" si="66">IF(T$12=0,0,T94/T$12)</f>
        <v>8.0251128260220791E-4</v>
      </c>
      <c r="W94" s="1"/>
      <c r="X94" s="1">
        <f t="shared" ref="X94:X96" si="67">+P94-T94</f>
        <v>-969.92000000000007</v>
      </c>
      <c r="Y94" s="1"/>
      <c r="Z94" s="5">
        <f t="shared" ref="Z94:Z96" si="68">IF(T94=0,0,X94/T94)</f>
        <v>-0.3617754569190601</v>
      </c>
    </row>
    <row r="95" spans="1:26" s="24" customFormat="1" hidden="1" outlineLevel="2" x14ac:dyDescent="0.25">
      <c r="A95" s="26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61"/>
        <v>0</v>
      </c>
      <c r="G95" s="2"/>
      <c r="H95" s="7"/>
      <c r="I95" s="2"/>
      <c r="J95" s="6">
        <f t="shared" si="62"/>
        <v>0</v>
      </c>
      <c r="K95" s="2"/>
      <c r="L95" s="7">
        <f t="shared" si="63"/>
        <v>0</v>
      </c>
      <c r="M95" s="2"/>
      <c r="N95" s="6">
        <f t="shared" si="64"/>
        <v>0</v>
      </c>
      <c r="O95" s="11"/>
      <c r="P95" s="7">
        <v>795</v>
      </c>
      <c r="Q95" s="2"/>
      <c r="R95" s="6">
        <f t="shared" si="65"/>
        <v>6.4386910550893518E-4</v>
      </c>
      <c r="S95" s="2"/>
      <c r="T95" s="7">
        <v>900</v>
      </c>
      <c r="U95" s="2"/>
      <c r="V95" s="6">
        <f t="shared" si="66"/>
        <v>2.693995353756013E-4</v>
      </c>
      <c r="W95" s="2"/>
      <c r="X95" s="7">
        <f t="shared" si="67"/>
        <v>-105</v>
      </c>
      <c r="Y95" s="2"/>
      <c r="Z95" s="6">
        <f t="shared" si="68"/>
        <v>-0.11666666666666667</v>
      </c>
    </row>
    <row r="96" spans="1:26" s="24" customFormat="1" hidden="1" outlineLevel="2" x14ac:dyDescent="0.25">
      <c r="A96" s="26"/>
      <c r="B96" s="11" t="str">
        <f>CONCATENATE("          ", "6275", " - ", "SUBSCRIPTIONS")</f>
        <v xml:space="preserve">          6275 - SUBSCRIPTIONS</v>
      </c>
      <c r="C96" s="11"/>
      <c r="D96" s="7">
        <v>119.07</v>
      </c>
      <c r="E96" s="2"/>
      <c r="F96" s="6">
        <f t="shared" si="61"/>
        <v>7.9879925853288607E-4</v>
      </c>
      <c r="G96" s="2"/>
      <c r="H96" s="7">
        <v>200</v>
      </c>
      <c r="I96" s="2"/>
      <c r="J96" s="6">
        <f t="shared" si="62"/>
        <v>3.7585507028489815E-4</v>
      </c>
      <c r="K96" s="2"/>
      <c r="L96" s="7">
        <f t="shared" si="63"/>
        <v>-80.930000000000007</v>
      </c>
      <c r="M96" s="2"/>
      <c r="N96" s="6">
        <f t="shared" si="64"/>
        <v>-0.40465000000000001</v>
      </c>
      <c r="O96" s="11"/>
      <c r="P96" s="7">
        <v>916.08</v>
      </c>
      <c r="Q96" s="2"/>
      <c r="R96" s="6">
        <f t="shared" si="65"/>
        <v>7.4193158512531488E-4</v>
      </c>
      <c r="S96" s="2"/>
      <c r="T96" s="7">
        <v>1781</v>
      </c>
      <c r="U96" s="2"/>
      <c r="V96" s="6">
        <f t="shared" si="66"/>
        <v>5.3311174722660661E-4</v>
      </c>
      <c r="W96" s="2"/>
      <c r="X96" s="7">
        <f t="shared" si="67"/>
        <v>-864.92</v>
      </c>
      <c r="Y96" s="2"/>
      <c r="Z96" s="6">
        <f t="shared" si="68"/>
        <v>-0.48563728242560356</v>
      </c>
    </row>
    <row r="97" spans="1:26" s="25" customFormat="1" outlineLevel="1" collapsed="1" x14ac:dyDescent="0.25">
      <c r="A97" s="27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SUM(OSRRefD22_19x_0)</f>
        <v>7584.1299999999992</v>
      </c>
      <c r="E97" s="1"/>
      <c r="F97" s="5">
        <f t="shared" ref="F97:F108" si="69">IF(D$12=0,0,D97/D$12)</f>
        <v>5.0879293026094036E-2</v>
      </c>
      <c r="G97" s="1"/>
      <c r="H97" s="1">
        <f>SUM(OSRRefH22_19x_0)</f>
        <v>27263</v>
      </c>
      <c r="I97" s="1"/>
      <c r="J97" s="5">
        <f t="shared" ref="J97:J108" si="70">IF(H$12=0,0,H97/H$12)</f>
        <v>5.123468390588589E-2</v>
      </c>
      <c r="K97" s="1"/>
      <c r="L97" s="1">
        <f t="shared" ref="L97:L108" si="71">+D97-H97</f>
        <v>-19678.870000000003</v>
      </c>
      <c r="M97" s="1"/>
      <c r="N97" s="5">
        <f t="shared" ref="N97:N108" si="72">IF(H97=0,0,L97/H97)</f>
        <v>-0.72181601437846177</v>
      </c>
      <c r="O97" s="13"/>
      <c r="P97" s="1">
        <f>SUM(OSRRefP22_19x_0)</f>
        <v>98808.640000000014</v>
      </c>
      <c r="Q97" s="1"/>
      <c r="R97" s="5">
        <f t="shared" ref="R97:R108" si="73">IF(P$12=0,0,P97/P$12)</f>
        <v>8.0024944218055852E-2</v>
      </c>
      <c r="S97" s="1"/>
      <c r="T97" s="1">
        <f>SUM(OSRRefT22_19x_0)</f>
        <v>249044</v>
      </c>
      <c r="U97" s="1"/>
      <c r="V97" s="5">
        <f t="shared" ref="V97:V108" si="74">IF(T$12=0,0,T97/T$12)</f>
        <v>7.4547042097868069E-2</v>
      </c>
      <c r="W97" s="1"/>
      <c r="X97" s="1">
        <f t="shared" ref="X97:X108" si="75">+P97-T97</f>
        <v>-150235.35999999999</v>
      </c>
      <c r="Y97" s="1"/>
      <c r="Z97" s="5">
        <f t="shared" ref="Z97:Z108" si="76">IF(T97=0,0,X97/T97)</f>
        <v>-0.60324826135140774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69"/>
        <v>0</v>
      </c>
      <c r="G98" s="2"/>
      <c r="H98" s="7">
        <v>100</v>
      </c>
      <c r="I98" s="2"/>
      <c r="J98" s="6">
        <f t="shared" si="70"/>
        <v>1.8792753514244908E-4</v>
      </c>
      <c r="K98" s="2"/>
      <c r="L98" s="7">
        <f t="shared" si="71"/>
        <v>-100</v>
      </c>
      <c r="M98" s="2"/>
      <c r="N98" s="6">
        <f t="shared" si="72"/>
        <v>-1</v>
      </c>
      <c r="O98" s="11"/>
      <c r="P98" s="7">
        <v>310.91000000000003</v>
      </c>
      <c r="Q98" s="2"/>
      <c r="R98" s="6">
        <f t="shared" si="73"/>
        <v>2.518054636399787E-4</v>
      </c>
      <c r="S98" s="2"/>
      <c r="T98" s="7">
        <v>1976</v>
      </c>
      <c r="U98" s="2"/>
      <c r="V98" s="6">
        <f t="shared" si="74"/>
        <v>5.9148164655798688E-4</v>
      </c>
      <c r="W98" s="2"/>
      <c r="X98" s="7">
        <f t="shared" si="75"/>
        <v>-1665.09</v>
      </c>
      <c r="Y98" s="2"/>
      <c r="Z98" s="6">
        <f t="shared" si="76"/>
        <v>-0.84265688259109306</v>
      </c>
    </row>
    <row r="99" spans="1:26" s="24" customFormat="1" hidden="1" outlineLevel="2" x14ac:dyDescent="0.25">
      <c r="A99" s="26"/>
      <c r="B99" s="11" t="str">
        <f>CONCATENATE("          ", "6235", " - ", "COVID-19 EXPENSES")</f>
        <v xml:space="preserve">          6235 - COVID-19 EXPENSES</v>
      </c>
      <c r="C99" s="11"/>
      <c r="D99" s="7"/>
      <c r="E99" s="2"/>
      <c r="F99" s="6">
        <f t="shared" si="69"/>
        <v>0</v>
      </c>
      <c r="G99" s="2"/>
      <c r="H99" s="7">
        <v>12200</v>
      </c>
      <c r="I99" s="2"/>
      <c r="J99" s="6">
        <f t="shared" si="70"/>
        <v>2.2927159287378786E-2</v>
      </c>
      <c r="K99" s="2"/>
      <c r="L99" s="7">
        <f t="shared" si="71"/>
        <v>-12200</v>
      </c>
      <c r="M99" s="2"/>
      <c r="N99" s="6">
        <f t="shared" si="72"/>
        <v>-1</v>
      </c>
      <c r="O99" s="11"/>
      <c r="P99" s="7">
        <v>60451.41</v>
      </c>
      <c r="Q99" s="2"/>
      <c r="R99" s="6">
        <f t="shared" si="73"/>
        <v>4.8959490922583525E-2</v>
      </c>
      <c r="S99" s="2"/>
      <c r="T99" s="7">
        <v>102800</v>
      </c>
      <c r="U99" s="2"/>
      <c r="V99" s="6">
        <f t="shared" si="74"/>
        <v>3.077141359623535E-2</v>
      </c>
      <c r="W99" s="2"/>
      <c r="X99" s="7">
        <f t="shared" si="75"/>
        <v>-42348.59</v>
      </c>
      <c r="Y99" s="2"/>
      <c r="Z99" s="6">
        <f t="shared" si="76"/>
        <v>-0.41195126459143966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7">
        <v>1954.49</v>
      </c>
      <c r="E100" s="2"/>
      <c r="F100" s="6">
        <f t="shared" si="69"/>
        <v>1.3111994312672718E-2</v>
      </c>
      <c r="G100" s="2"/>
      <c r="H100" s="7">
        <v>9600</v>
      </c>
      <c r="I100" s="2"/>
      <c r="J100" s="6">
        <f t="shared" si="70"/>
        <v>1.8041043373675111E-2</v>
      </c>
      <c r="K100" s="2"/>
      <c r="L100" s="7">
        <f t="shared" si="71"/>
        <v>-7645.51</v>
      </c>
      <c r="M100" s="2"/>
      <c r="N100" s="6">
        <f t="shared" si="72"/>
        <v>-0.79640729166666668</v>
      </c>
      <c r="O100" s="11"/>
      <c r="P100" s="7">
        <v>20198.2</v>
      </c>
      <c r="Q100" s="2"/>
      <c r="R100" s="6">
        <f t="shared" si="73"/>
        <v>1.6358486750805753E-2</v>
      </c>
      <c r="S100" s="2"/>
      <c r="T100" s="7">
        <v>85449</v>
      </c>
      <c r="U100" s="2"/>
      <c r="V100" s="6">
        <f t="shared" si="74"/>
        <v>2.557768988701084E-2</v>
      </c>
      <c r="W100" s="2"/>
      <c r="X100" s="7">
        <f t="shared" si="75"/>
        <v>-65250.8</v>
      </c>
      <c r="Y100" s="2"/>
      <c r="Z100" s="6">
        <f t="shared" si="76"/>
        <v>-0.76362274573137201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7">
        <v>39.75</v>
      </c>
      <c r="E101" s="2"/>
      <c r="F101" s="6">
        <f t="shared" si="69"/>
        <v>2.666689386636619E-4</v>
      </c>
      <c r="G101" s="2"/>
      <c r="H101" s="7">
        <v>2350</v>
      </c>
      <c r="I101" s="2"/>
      <c r="J101" s="6">
        <f t="shared" si="70"/>
        <v>4.4162970758475535E-3</v>
      </c>
      <c r="K101" s="2"/>
      <c r="L101" s="7">
        <f t="shared" si="71"/>
        <v>-2310.25</v>
      </c>
      <c r="M101" s="2"/>
      <c r="N101" s="6">
        <f t="shared" si="72"/>
        <v>-0.98308510638297875</v>
      </c>
      <c r="O101" s="11"/>
      <c r="P101" s="7">
        <v>7106.91</v>
      </c>
      <c r="Q101" s="2"/>
      <c r="R101" s="6">
        <f t="shared" si="73"/>
        <v>5.7558739429339704E-3</v>
      </c>
      <c r="S101" s="2"/>
      <c r="T101" s="7">
        <v>20293</v>
      </c>
      <c r="U101" s="2"/>
      <c r="V101" s="6">
        <f t="shared" si="74"/>
        <v>6.074360857085642E-3</v>
      </c>
      <c r="W101" s="2"/>
      <c r="X101" s="7">
        <f t="shared" si="75"/>
        <v>-13186.09</v>
      </c>
      <c r="Y101" s="2"/>
      <c r="Z101" s="6">
        <f t="shared" si="76"/>
        <v>-0.64978514758783823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7">
        <v>1406.91</v>
      </c>
      <c r="E102" s="2"/>
      <c r="F102" s="6">
        <f t="shared" si="69"/>
        <v>9.4384703520828325E-3</v>
      </c>
      <c r="G102" s="2"/>
      <c r="H102" s="7">
        <v>1125</v>
      </c>
      <c r="I102" s="2"/>
      <c r="J102" s="6">
        <f t="shared" si="70"/>
        <v>2.114184770352552E-3</v>
      </c>
      <c r="K102" s="2"/>
      <c r="L102" s="7">
        <f t="shared" si="71"/>
        <v>281.91000000000008</v>
      </c>
      <c r="M102" s="2"/>
      <c r="N102" s="6">
        <f t="shared" si="72"/>
        <v>0.25058666666666674</v>
      </c>
      <c r="O102" s="11"/>
      <c r="P102" s="7">
        <v>-22261.34</v>
      </c>
      <c r="Q102" s="2"/>
      <c r="R102" s="6">
        <f t="shared" si="73"/>
        <v>-1.802942021789972E-2</v>
      </c>
      <c r="S102" s="2"/>
      <c r="T102" s="7">
        <v>14337</v>
      </c>
      <c r="U102" s="2"/>
      <c r="V102" s="6">
        <f t="shared" si="74"/>
        <v>4.2915345985333293E-3</v>
      </c>
      <c r="W102" s="2"/>
      <c r="X102" s="7">
        <f t="shared" si="75"/>
        <v>-36598.339999999997</v>
      </c>
      <c r="Y102" s="2"/>
      <c r="Z102" s="6">
        <f t="shared" si="76"/>
        <v>-2.552719536862663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7">
        <v>4182.9799999999996</v>
      </c>
      <c r="E103" s="2"/>
      <c r="F103" s="6">
        <f t="shared" si="69"/>
        <v>2.8062159422674825E-2</v>
      </c>
      <c r="G103" s="2"/>
      <c r="H103" s="7">
        <v>1100</v>
      </c>
      <c r="I103" s="2"/>
      <c r="J103" s="6">
        <f t="shared" si="70"/>
        <v>2.0672028865669398E-3</v>
      </c>
      <c r="K103" s="2"/>
      <c r="L103" s="7">
        <f t="shared" si="71"/>
        <v>3082.9799999999996</v>
      </c>
      <c r="M103" s="2"/>
      <c r="N103" s="6">
        <f t="shared" si="72"/>
        <v>2.8027090909090906</v>
      </c>
      <c r="O103" s="11"/>
      <c r="P103" s="7">
        <v>28501.96</v>
      </c>
      <c r="Q103" s="2"/>
      <c r="R103" s="6">
        <f t="shared" si="73"/>
        <v>2.3083687409372892E-2</v>
      </c>
      <c r="S103" s="2"/>
      <c r="T103" s="7">
        <v>9719</v>
      </c>
      <c r="U103" s="2"/>
      <c r="V103" s="6">
        <f t="shared" si="74"/>
        <v>2.9092156492394102E-3</v>
      </c>
      <c r="W103" s="2"/>
      <c r="X103" s="7">
        <f t="shared" si="75"/>
        <v>18782.96</v>
      </c>
      <c r="Y103" s="2"/>
      <c r="Z103" s="6">
        <f t="shared" si="76"/>
        <v>1.9326021195596255</v>
      </c>
    </row>
    <row r="104" spans="1:26" s="24" customFormat="1" hidden="1" outlineLevel="2" x14ac:dyDescent="0.25">
      <c r="A104" s="26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69"/>
        <v>0</v>
      </c>
      <c r="G104" s="2"/>
      <c r="H104" s="7">
        <v>120</v>
      </c>
      <c r="I104" s="2"/>
      <c r="J104" s="6">
        <f t="shared" si="70"/>
        <v>2.2551304217093888E-4</v>
      </c>
      <c r="K104" s="2"/>
      <c r="L104" s="7">
        <f t="shared" si="71"/>
        <v>-120</v>
      </c>
      <c r="M104" s="2"/>
      <c r="N104" s="6">
        <f t="shared" si="72"/>
        <v>-1</v>
      </c>
      <c r="O104" s="11"/>
      <c r="P104" s="7"/>
      <c r="Q104" s="2"/>
      <c r="R104" s="6">
        <f t="shared" si="73"/>
        <v>0</v>
      </c>
      <c r="S104" s="2"/>
      <c r="T104" s="7">
        <v>1200</v>
      </c>
      <c r="U104" s="2"/>
      <c r="V104" s="6">
        <f t="shared" si="74"/>
        <v>3.5919938050080175E-4</v>
      </c>
      <c r="W104" s="2"/>
      <c r="X104" s="7">
        <f t="shared" si="75"/>
        <v>-1200</v>
      </c>
      <c r="Y104" s="2"/>
      <c r="Z104" s="6">
        <f t="shared" si="76"/>
        <v>-1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9"/>
        <v>0</v>
      </c>
      <c r="G105" s="2"/>
      <c r="H105" s="7">
        <v>150</v>
      </c>
      <c r="I105" s="2"/>
      <c r="J105" s="6">
        <f t="shared" si="70"/>
        <v>2.8189130271367361E-4</v>
      </c>
      <c r="K105" s="2"/>
      <c r="L105" s="7">
        <f t="shared" si="71"/>
        <v>-150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2350</v>
      </c>
      <c r="U105" s="2"/>
      <c r="V105" s="6">
        <f t="shared" si="74"/>
        <v>7.0343212014740346E-4</v>
      </c>
      <c r="W105" s="2"/>
      <c r="X105" s="7">
        <f t="shared" si="75"/>
        <v>-2350</v>
      </c>
      <c r="Y105" s="2"/>
      <c r="Z105" s="6">
        <f t="shared" si="76"/>
        <v>-1</v>
      </c>
    </row>
    <row r="106" spans="1:26" s="24" customFormat="1" hidden="1" outlineLevel="2" x14ac:dyDescent="0.25">
      <c r="A106" s="26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69"/>
        <v>0</v>
      </c>
      <c r="G106" s="2"/>
      <c r="H106" s="7">
        <v>0</v>
      </c>
      <c r="I106" s="2"/>
      <c r="J106" s="6">
        <f t="shared" si="70"/>
        <v>0</v>
      </c>
      <c r="K106" s="2"/>
      <c r="L106" s="7">
        <f t="shared" si="71"/>
        <v>0</v>
      </c>
      <c r="M106" s="2"/>
      <c r="N106" s="6">
        <f t="shared" si="72"/>
        <v>0</v>
      </c>
      <c r="O106" s="11"/>
      <c r="P106" s="7"/>
      <c r="Q106" s="2"/>
      <c r="R106" s="6">
        <f t="shared" si="73"/>
        <v>0</v>
      </c>
      <c r="S106" s="2"/>
      <c r="T106" s="7">
        <v>0</v>
      </c>
      <c r="U106" s="2"/>
      <c r="V106" s="6">
        <f t="shared" si="74"/>
        <v>0</v>
      </c>
      <c r="W106" s="2"/>
      <c r="X106" s="7">
        <f t="shared" si="75"/>
        <v>0</v>
      </c>
      <c r="Y106" s="2"/>
      <c r="Z106" s="6">
        <f t="shared" si="76"/>
        <v>0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69"/>
        <v>0</v>
      </c>
      <c r="G107" s="2"/>
      <c r="H107" s="7">
        <v>18</v>
      </c>
      <c r="I107" s="2"/>
      <c r="J107" s="6">
        <f t="shared" si="70"/>
        <v>3.3826956325640834E-5</v>
      </c>
      <c r="K107" s="2"/>
      <c r="L107" s="7">
        <f t="shared" si="71"/>
        <v>-18</v>
      </c>
      <c r="M107" s="2"/>
      <c r="N107" s="6">
        <f t="shared" si="72"/>
        <v>-1</v>
      </c>
      <c r="O107" s="11"/>
      <c r="P107" s="7"/>
      <c r="Q107" s="2"/>
      <c r="R107" s="6">
        <f t="shared" si="73"/>
        <v>0</v>
      </c>
      <c r="S107" s="2"/>
      <c r="T107" s="7">
        <v>555</v>
      </c>
      <c r="U107" s="2"/>
      <c r="V107" s="6">
        <f t="shared" si="74"/>
        <v>1.6612971348162081E-4</v>
      </c>
      <c r="W107" s="2"/>
      <c r="X107" s="7">
        <f t="shared" si="75"/>
        <v>-555</v>
      </c>
      <c r="Y107" s="2"/>
      <c r="Z107" s="6">
        <f t="shared" si="76"/>
        <v>-1</v>
      </c>
    </row>
    <row r="108" spans="1:26" s="24" customFormat="1" hidden="1" outlineLevel="2" x14ac:dyDescent="0.25">
      <c r="A108" s="26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69"/>
        <v>0</v>
      </c>
      <c r="G108" s="2"/>
      <c r="H108" s="7">
        <v>500</v>
      </c>
      <c r="I108" s="2"/>
      <c r="J108" s="6">
        <f t="shared" si="70"/>
        <v>9.3963767571224538E-4</v>
      </c>
      <c r="K108" s="2"/>
      <c r="L108" s="7">
        <f t="shared" si="71"/>
        <v>-500</v>
      </c>
      <c r="M108" s="2"/>
      <c r="N108" s="6">
        <f t="shared" si="72"/>
        <v>-1</v>
      </c>
      <c r="O108" s="11"/>
      <c r="P108" s="7">
        <v>4500.59</v>
      </c>
      <c r="Q108" s="2"/>
      <c r="R108" s="6">
        <f t="shared" si="73"/>
        <v>3.6450199466194449E-3</v>
      </c>
      <c r="S108" s="2"/>
      <c r="T108" s="7">
        <v>10365</v>
      </c>
      <c r="U108" s="2"/>
      <c r="V108" s="6">
        <f t="shared" si="74"/>
        <v>3.1025846490756754E-3</v>
      </c>
      <c r="W108" s="2"/>
      <c r="X108" s="7">
        <f t="shared" si="75"/>
        <v>-5864.41</v>
      </c>
      <c r="Y108" s="2"/>
      <c r="Z108" s="6">
        <f t="shared" si="76"/>
        <v>-0.56578967679691272</v>
      </c>
    </row>
    <row r="109" spans="1:26" s="25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SUM(OSRRefD22_20x_0)</f>
        <v>648</v>
      </c>
      <c r="E109" s="1"/>
      <c r="F109" s="5">
        <f t="shared" ref="F109:F111" si="77">IF(D$12=0,0,D109/D$12)</f>
        <v>4.3472068491585639E-3</v>
      </c>
      <c r="G109" s="1"/>
      <c r="H109" s="1">
        <f>SUM(OSRRefH22_20x_0)</f>
        <v>1110</v>
      </c>
      <c r="I109" s="1"/>
      <c r="J109" s="5">
        <f t="shared" ref="J109:J111" si="78">IF(H$12=0,0,H109/H$12)</f>
        <v>2.0859956400811849E-3</v>
      </c>
      <c r="K109" s="1"/>
      <c r="L109" s="1">
        <f t="shared" ref="L109:L111" si="79">+D109-H109</f>
        <v>-462</v>
      </c>
      <c r="M109" s="1"/>
      <c r="N109" s="5">
        <f t="shared" ref="N109:N111" si="80">IF(H109=0,0,L109/H109)</f>
        <v>-0.41621621621621624</v>
      </c>
      <c r="O109" s="13"/>
      <c r="P109" s="1">
        <f>SUM(OSRRefP22_20x_0)</f>
        <v>10124.73</v>
      </c>
      <c r="Q109" s="1"/>
      <c r="R109" s="5">
        <f t="shared" ref="R109:R111" si="81">IF(P$12=0,0,P109/P$12)</f>
        <v>8.2000010674458876E-3</v>
      </c>
      <c r="S109" s="1"/>
      <c r="T109" s="1">
        <f>SUM(OSRRefT22_20x_0)</f>
        <v>9582</v>
      </c>
      <c r="U109" s="1"/>
      <c r="V109" s="5">
        <f t="shared" ref="V109:V111" si="82">IF(T$12=0,0,T109/T$12)</f>
        <v>2.868207053298902E-3</v>
      </c>
      <c r="W109" s="1"/>
      <c r="X109" s="1">
        <f t="shared" ref="X109:X111" si="83">+P109-T109</f>
        <v>542.72999999999956</v>
      </c>
      <c r="Y109" s="1"/>
      <c r="Z109" s="5">
        <f t="shared" ref="Z109:Z111" si="84">IF(T109=0,0,X109/T109)</f>
        <v>5.6640576080150239E-2</v>
      </c>
    </row>
    <row r="110" spans="1:26" s="24" customFormat="1" hidden="1" outlineLevel="2" x14ac:dyDescent="0.25">
      <c r="A110" s="26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77"/>
        <v>0</v>
      </c>
      <c r="G110" s="2"/>
      <c r="H110" s="7">
        <v>635</v>
      </c>
      <c r="I110" s="2"/>
      <c r="J110" s="6">
        <f t="shared" si="78"/>
        <v>1.1933398481545517E-3</v>
      </c>
      <c r="K110" s="2"/>
      <c r="L110" s="7">
        <f t="shared" si="79"/>
        <v>-635</v>
      </c>
      <c r="M110" s="2"/>
      <c r="N110" s="6">
        <f t="shared" si="80"/>
        <v>-1</v>
      </c>
      <c r="O110" s="11"/>
      <c r="P110" s="7"/>
      <c r="Q110" s="2"/>
      <c r="R110" s="6">
        <f t="shared" si="81"/>
        <v>0</v>
      </c>
      <c r="S110" s="2"/>
      <c r="T110" s="7">
        <v>5757</v>
      </c>
      <c r="U110" s="2"/>
      <c r="V110" s="6">
        <f t="shared" si="82"/>
        <v>1.7232590279525964E-3</v>
      </c>
      <c r="W110" s="2"/>
      <c r="X110" s="7">
        <f t="shared" si="83"/>
        <v>-5757</v>
      </c>
      <c r="Y110" s="2"/>
      <c r="Z110" s="6">
        <f t="shared" si="84"/>
        <v>-1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7">
        <v>648</v>
      </c>
      <c r="E111" s="2"/>
      <c r="F111" s="6">
        <f t="shared" si="77"/>
        <v>4.3472068491585639E-3</v>
      </c>
      <c r="G111" s="2"/>
      <c r="H111" s="7">
        <v>475</v>
      </c>
      <c r="I111" s="2"/>
      <c r="J111" s="6">
        <f t="shared" si="78"/>
        <v>8.9265579192663311E-4</v>
      </c>
      <c r="K111" s="2"/>
      <c r="L111" s="7">
        <f t="shared" si="79"/>
        <v>173</v>
      </c>
      <c r="M111" s="2"/>
      <c r="N111" s="6">
        <f t="shared" si="80"/>
        <v>0.36421052631578948</v>
      </c>
      <c r="O111" s="11"/>
      <c r="P111" s="7">
        <v>10124.73</v>
      </c>
      <c r="Q111" s="2"/>
      <c r="R111" s="6">
        <f t="shared" si="81"/>
        <v>8.2000010674458876E-3</v>
      </c>
      <c r="S111" s="2"/>
      <c r="T111" s="7">
        <v>3825</v>
      </c>
      <c r="U111" s="2"/>
      <c r="V111" s="6">
        <f t="shared" si="82"/>
        <v>1.1449480253463056E-3</v>
      </c>
      <c r="W111" s="2"/>
      <c r="X111" s="7">
        <f t="shared" si="83"/>
        <v>6299.73</v>
      </c>
      <c r="Y111" s="2"/>
      <c r="Z111" s="6">
        <f t="shared" si="84"/>
        <v>1.6469882352941176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SUM(OSRRefD22_21x_0)</f>
        <v>51.23</v>
      </c>
      <c r="E112" s="1"/>
      <c r="F112" s="5">
        <f t="shared" ref="F112:F117" si="85">IF(D$12=0,0,D112/D$12)</f>
        <v>3.436842698802364E-4</v>
      </c>
      <c r="G112" s="1"/>
      <c r="H112" s="1">
        <f>SUM(OSRRefH22_21x_0)</f>
        <v>750</v>
      </c>
      <c r="I112" s="1"/>
      <c r="J112" s="5">
        <f t="shared" ref="J112:J117" si="86">IF(H$12=0,0,H112/H$12)</f>
        <v>1.4094565135683681E-3</v>
      </c>
      <c r="K112" s="1"/>
      <c r="L112" s="1">
        <f t="shared" ref="L112:L117" si="87">+D112-H112</f>
        <v>-698.77</v>
      </c>
      <c r="M112" s="1"/>
      <c r="N112" s="5">
        <f t="shared" ref="N112:N117" si="88">IF(H112=0,0,L112/H112)</f>
        <v>-0.93169333333333326</v>
      </c>
      <c r="O112" s="13"/>
      <c r="P112" s="1">
        <f>SUM(OSRRefP22_21x_0)</f>
        <v>1186.23</v>
      </c>
      <c r="Q112" s="1"/>
      <c r="R112" s="5">
        <f t="shared" ref="R112:R117" si="89">IF(P$12=0,0,P112/P$12)</f>
        <v>9.607255962614643E-4</v>
      </c>
      <c r="S112" s="1"/>
      <c r="T112" s="1">
        <f>SUM(OSRRefT22_21x_0)</f>
        <v>7900</v>
      </c>
      <c r="U112" s="1"/>
      <c r="V112" s="5">
        <f t="shared" ref="V112:V117" si="90">IF(T$12=0,0,T112/T$12)</f>
        <v>2.3647292549636117E-3</v>
      </c>
      <c r="W112" s="1"/>
      <c r="X112" s="1">
        <f t="shared" ref="X112:X117" si="91">+P112-T112</f>
        <v>-6713.77</v>
      </c>
      <c r="Y112" s="1"/>
      <c r="Z112" s="5">
        <f t="shared" ref="Z112:Z117" si="92">IF(T112=0,0,X112/T112)</f>
        <v>-0.84984430379746845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7">
        <v>51.23</v>
      </c>
      <c r="E113" s="2"/>
      <c r="F113" s="6">
        <f t="shared" si="85"/>
        <v>3.436842698802364E-4</v>
      </c>
      <c r="G113" s="2"/>
      <c r="H113" s="7">
        <v>750</v>
      </c>
      <c r="I113" s="2"/>
      <c r="J113" s="6">
        <f t="shared" si="86"/>
        <v>1.4094565135683681E-3</v>
      </c>
      <c r="K113" s="2"/>
      <c r="L113" s="7">
        <f t="shared" si="87"/>
        <v>-698.77</v>
      </c>
      <c r="M113" s="2"/>
      <c r="N113" s="6">
        <f t="shared" si="88"/>
        <v>-0.93169333333333326</v>
      </c>
      <c r="O113" s="11"/>
      <c r="P113" s="7">
        <v>1186.23</v>
      </c>
      <c r="Q113" s="2"/>
      <c r="R113" s="6">
        <f t="shared" si="89"/>
        <v>9.607255962614643E-4</v>
      </c>
      <c r="S113" s="2"/>
      <c r="T113" s="7">
        <v>7900</v>
      </c>
      <c r="U113" s="2"/>
      <c r="V113" s="6">
        <f t="shared" si="90"/>
        <v>2.3647292549636117E-3</v>
      </c>
      <c r="W113" s="2"/>
      <c r="X113" s="7">
        <f t="shared" si="91"/>
        <v>-6713.77</v>
      </c>
      <c r="Y113" s="2"/>
      <c r="Z113" s="6">
        <f t="shared" si="92"/>
        <v>-0.84984430379746845</v>
      </c>
    </row>
    <row r="114" spans="1:26" s="25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SUM(OSRRefD22_22x_0)</f>
        <v>0</v>
      </c>
      <c r="E114" s="1"/>
      <c r="F114" s="5">
        <f t="shared" si="85"/>
        <v>0</v>
      </c>
      <c r="G114" s="1"/>
      <c r="H114" s="1">
        <f>SUM(OSRRefH22_22x_0)</f>
        <v>300</v>
      </c>
      <c r="I114" s="1"/>
      <c r="J114" s="5">
        <f t="shared" si="86"/>
        <v>5.6378260542734723E-4</v>
      </c>
      <c r="K114" s="1"/>
      <c r="L114" s="1">
        <f t="shared" si="87"/>
        <v>-300</v>
      </c>
      <c r="M114" s="1"/>
      <c r="N114" s="5">
        <f t="shared" si="88"/>
        <v>-1</v>
      </c>
      <c r="O114" s="13"/>
      <c r="P114" s="1">
        <f>SUM(OSRRefP22_22x_0)</f>
        <v>332.21</v>
      </c>
      <c r="Q114" s="1"/>
      <c r="R114" s="5">
        <f t="shared" si="89"/>
        <v>2.6905629627814258E-4</v>
      </c>
      <c r="S114" s="1"/>
      <c r="T114" s="1">
        <f>SUM(OSRRefT22_22x_0)</f>
        <v>2700</v>
      </c>
      <c r="U114" s="1"/>
      <c r="V114" s="5">
        <f t="shared" si="90"/>
        <v>8.0819860612680401E-4</v>
      </c>
      <c r="W114" s="1"/>
      <c r="X114" s="1">
        <f t="shared" si="91"/>
        <v>-2367.79</v>
      </c>
      <c r="Y114" s="1"/>
      <c r="Z114" s="5">
        <f t="shared" si="92"/>
        <v>-0.87695925925925922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5"/>
        <v>0</v>
      </c>
      <c r="G115" s="2"/>
      <c r="H115" s="7">
        <v>300</v>
      </c>
      <c r="I115" s="2"/>
      <c r="J115" s="6">
        <f t="shared" si="86"/>
        <v>5.6378260542734723E-4</v>
      </c>
      <c r="K115" s="2"/>
      <c r="L115" s="7">
        <f t="shared" si="87"/>
        <v>-300</v>
      </c>
      <c r="M115" s="2"/>
      <c r="N115" s="6">
        <f t="shared" si="88"/>
        <v>-1</v>
      </c>
      <c r="O115" s="11"/>
      <c r="P115" s="7"/>
      <c r="Q115" s="2"/>
      <c r="R115" s="6">
        <f t="shared" si="89"/>
        <v>0</v>
      </c>
      <c r="S115" s="2"/>
      <c r="T115" s="7">
        <v>2700</v>
      </c>
      <c r="U115" s="2"/>
      <c r="V115" s="6">
        <f t="shared" si="90"/>
        <v>8.0819860612680401E-4</v>
      </c>
      <c r="W115" s="2"/>
      <c r="X115" s="7">
        <f t="shared" si="91"/>
        <v>-2700</v>
      </c>
      <c r="Y115" s="2"/>
      <c r="Z115" s="6">
        <f t="shared" si="92"/>
        <v>-1</v>
      </c>
    </row>
    <row r="116" spans="1:26" s="24" customFormat="1" hidden="1" outlineLevel="2" x14ac:dyDescent="0.25">
      <c r="A116" s="26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5"/>
        <v>0</v>
      </c>
      <c r="G116" s="2"/>
      <c r="H116" s="7"/>
      <c r="I116" s="2"/>
      <c r="J116" s="6">
        <f t="shared" si="86"/>
        <v>0</v>
      </c>
      <c r="K116" s="2"/>
      <c r="L116" s="7">
        <f t="shared" si="87"/>
        <v>0</v>
      </c>
      <c r="M116" s="2"/>
      <c r="N116" s="6">
        <f t="shared" si="88"/>
        <v>0</v>
      </c>
      <c r="O116" s="11"/>
      <c r="P116" s="7"/>
      <c r="Q116" s="2"/>
      <c r="R116" s="6">
        <f t="shared" si="89"/>
        <v>0</v>
      </c>
      <c r="S116" s="2"/>
      <c r="T116" s="7">
        <v>0</v>
      </c>
      <c r="U116" s="2"/>
      <c r="V116" s="6">
        <f t="shared" si="90"/>
        <v>0</v>
      </c>
      <c r="W116" s="2"/>
      <c r="X116" s="7">
        <f t="shared" si="91"/>
        <v>0</v>
      </c>
      <c r="Y116" s="2"/>
      <c r="Z116" s="6">
        <f t="shared" si="92"/>
        <v>0</v>
      </c>
    </row>
    <row r="117" spans="1:26" s="24" customFormat="1" hidden="1" outlineLevel="2" x14ac:dyDescent="0.25">
      <c r="A117" s="26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85"/>
        <v>0</v>
      </c>
      <c r="G117" s="2"/>
      <c r="H117" s="7"/>
      <c r="I117" s="2"/>
      <c r="J117" s="6">
        <f t="shared" si="86"/>
        <v>0</v>
      </c>
      <c r="K117" s="2"/>
      <c r="L117" s="7">
        <f t="shared" si="87"/>
        <v>0</v>
      </c>
      <c r="M117" s="2"/>
      <c r="N117" s="6">
        <f t="shared" si="88"/>
        <v>0</v>
      </c>
      <c r="O117" s="11"/>
      <c r="P117" s="7">
        <v>332.21</v>
      </c>
      <c r="Q117" s="2"/>
      <c r="R117" s="6">
        <f t="shared" si="89"/>
        <v>2.6905629627814258E-4</v>
      </c>
      <c r="S117" s="2"/>
      <c r="T117" s="7"/>
      <c r="U117" s="2"/>
      <c r="V117" s="6">
        <f t="shared" si="90"/>
        <v>0</v>
      </c>
      <c r="W117" s="2"/>
      <c r="X117" s="7">
        <f t="shared" si="91"/>
        <v>332.21</v>
      </c>
      <c r="Y117" s="2"/>
      <c r="Z117" s="6">
        <f t="shared" si="92"/>
        <v>0</v>
      </c>
    </row>
    <row r="118" spans="1:26" s="25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SUM(OSRRefD22_23x_0)</f>
        <v>-9772</v>
      </c>
      <c r="E118" s="1"/>
      <c r="F118" s="5">
        <f t="shared" ref="F118:F119" si="93">IF(D$12=0,0,D118/D$12)</f>
        <v>-6.5556952669718338E-2</v>
      </c>
      <c r="G118" s="1"/>
      <c r="H118" s="1">
        <f>SUM(OSRRefH22_23x_0)</f>
        <v>3300</v>
      </c>
      <c r="I118" s="1"/>
      <c r="J118" s="5">
        <f t="shared" ref="J118:J119" si="94">IF(H$12=0,0,H118/H$12)</f>
        <v>6.2016086597008191E-3</v>
      </c>
      <c r="K118" s="1"/>
      <c r="L118" s="1">
        <f t="shared" ref="L118:L119" si="95">+D118-H118</f>
        <v>-13072</v>
      </c>
      <c r="M118" s="1"/>
      <c r="N118" s="5">
        <f t="shared" ref="N118:N119" si="96">IF(H118=0,0,L118/H118)</f>
        <v>-3.9612121212121214</v>
      </c>
      <c r="O118" s="13"/>
      <c r="P118" s="1">
        <f>SUM(OSRRefP22_23x_0)</f>
        <v>-1460</v>
      </c>
      <c r="Q118" s="1"/>
      <c r="R118" s="5">
        <f t="shared" ref="R118:R119" si="97">IF(P$12=0,0,P118/P$12)</f>
        <v>-1.1824514390478557E-3</v>
      </c>
      <c r="S118" s="1"/>
      <c r="T118" s="1">
        <f>SUM(OSRRefT22_23x_0)</f>
        <v>29700</v>
      </c>
      <c r="U118" s="1"/>
      <c r="V118" s="5">
        <f t="shared" ref="V118:V119" si="98">IF(T$12=0,0,T118/T$12)</f>
        <v>8.8901846673948431E-3</v>
      </c>
      <c r="W118" s="1"/>
      <c r="X118" s="1">
        <f t="shared" ref="X118:X119" si="99">+P118-T118</f>
        <v>-31160</v>
      </c>
      <c r="Y118" s="1"/>
      <c r="Z118" s="5">
        <f t="shared" ref="Z118:Z119" si="100">IF(T118=0,0,X118/T118)</f>
        <v>-1.0491582491582492</v>
      </c>
    </row>
    <row r="119" spans="1:26" s="24" customFormat="1" hidden="1" outlineLevel="2" x14ac:dyDescent="0.25">
      <c r="A119" s="26"/>
      <c r="B119" s="11" t="str">
        <f>CONCATENATE("          ", "6274", " - ", "UTILITIES")</f>
        <v xml:space="preserve">          6274 - UTILITIES</v>
      </c>
      <c r="C119" s="11"/>
      <c r="D119" s="7">
        <v>-9772</v>
      </c>
      <c r="E119" s="2"/>
      <c r="F119" s="6">
        <f t="shared" si="93"/>
        <v>-6.5556952669718338E-2</v>
      </c>
      <c r="G119" s="2"/>
      <c r="H119" s="7">
        <v>3300</v>
      </c>
      <c r="I119" s="2"/>
      <c r="J119" s="6">
        <f t="shared" si="94"/>
        <v>6.2016086597008191E-3</v>
      </c>
      <c r="K119" s="2"/>
      <c r="L119" s="7">
        <f t="shared" si="95"/>
        <v>-13072</v>
      </c>
      <c r="M119" s="2"/>
      <c r="N119" s="6">
        <f t="shared" si="96"/>
        <v>-3.9612121212121214</v>
      </c>
      <c r="O119" s="11"/>
      <c r="P119" s="7">
        <v>-1460</v>
      </c>
      <c r="Q119" s="2"/>
      <c r="R119" s="6">
        <f t="shared" si="97"/>
        <v>-1.1824514390478557E-3</v>
      </c>
      <c r="S119" s="2"/>
      <c r="T119" s="7">
        <v>29700</v>
      </c>
      <c r="U119" s="2"/>
      <c r="V119" s="6">
        <f t="shared" si="98"/>
        <v>8.8901846673948431E-3</v>
      </c>
      <c r="W119" s="2"/>
      <c r="X119" s="7">
        <f t="shared" si="99"/>
        <v>-31160</v>
      </c>
      <c r="Y119" s="2"/>
      <c r="Z119" s="6">
        <f t="shared" si="100"/>
        <v>-1.0491582491582492</v>
      </c>
    </row>
    <row r="120" spans="1:26" s="59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293</v>
      </c>
      <c r="C121" s="10"/>
      <c r="D121" s="4">
        <f>SUM(OSRRefD25x_0)</f>
        <v>3116.44</v>
      </c>
      <c r="E121" s="4"/>
      <c r="F121" s="12">
        <f t="shared" ref="F121:F125" si="101">IF(D$12=0,0,D121/D$12)</f>
        <v>2.0907113137332893E-2</v>
      </c>
      <c r="G121" s="4"/>
      <c r="H121" s="4">
        <f>SUM(OSRRefH25x_0)</f>
        <v>11116</v>
      </c>
      <c r="I121" s="4"/>
      <c r="J121" s="12">
        <f t="shared" ref="J121:J125" si="102">IF(H$12=0,0,H121/H$12)</f>
        <v>2.0890024806434638E-2</v>
      </c>
      <c r="K121" s="4"/>
      <c r="L121" s="4">
        <f t="shared" ref="L121:L125" si="103">+D121-H121</f>
        <v>-7999.5599999999995</v>
      </c>
      <c r="M121" s="4"/>
      <c r="N121" s="12">
        <f t="shared" ref="N121:N125" si="104">IF(H121=0,0,L121/H121)</f>
        <v>-0.71964375674703129</v>
      </c>
      <c r="O121" s="10"/>
      <c r="P121" s="4">
        <f>SUM(OSRRefP25x_0)</f>
        <v>20865.659999999996</v>
      </c>
      <c r="Q121" s="4"/>
      <c r="R121" s="12">
        <f t="shared" ref="R121:R125" si="105">IF(P$12=0,0,P121/P$12)</f>
        <v>1.6899061434029642E-2</v>
      </c>
      <c r="S121" s="4"/>
      <c r="T121" s="4">
        <f>SUM(OSRRefT25x_0)</f>
        <v>51391</v>
      </c>
      <c r="U121" s="4"/>
      <c r="V121" s="12">
        <f t="shared" ref="V121:V125" si="106">IF(T$12=0,0,T121/T$12)</f>
        <v>1.5383012802763919E-2</v>
      </c>
      <c r="W121" s="4"/>
      <c r="X121" s="4">
        <f t="shared" ref="X121:X125" si="107">+P121-T121</f>
        <v>-30525.340000000004</v>
      </c>
      <c r="Y121" s="4"/>
      <c r="Z121" s="12">
        <f t="shared" ref="Z121:Z125" si="108">IF(T121=0,0,X121/T121)</f>
        <v>-0.59398221478469004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--3116.44</f>
        <v>3116.44</v>
      </c>
      <c r="E122" s="2"/>
      <c r="F122" s="19">
        <f t="shared" si="101"/>
        <v>2.0907113137332893E-2</v>
      </c>
      <c r="G122" s="2"/>
      <c r="H122" s="2">
        <v>2970</v>
      </c>
      <c r="I122" s="2"/>
      <c r="J122" s="19">
        <f t="shared" si="102"/>
        <v>5.5814477937307372E-3</v>
      </c>
      <c r="K122" s="2"/>
      <c r="L122" s="2">
        <f t="shared" si="103"/>
        <v>146.44000000000005</v>
      </c>
      <c r="M122" s="2"/>
      <c r="N122" s="19">
        <f t="shared" si="104"/>
        <v>4.9306397306397326E-2</v>
      </c>
      <c r="O122" s="11"/>
      <c r="P122" s="2">
        <f>--4844.49</f>
        <v>4844.49</v>
      </c>
      <c r="Q122" s="2"/>
      <c r="R122" s="19">
        <f t="shared" si="105"/>
        <v>3.9235439533924291E-3</v>
      </c>
      <c r="S122" s="2"/>
      <c r="T122" s="2">
        <v>19642</v>
      </c>
      <c r="U122" s="2"/>
      <c r="V122" s="19">
        <f t="shared" si="106"/>
        <v>5.8794951931639573E-3</v>
      </c>
      <c r="W122" s="2"/>
      <c r="X122" s="2">
        <f t="shared" si="107"/>
        <v>-14797.51</v>
      </c>
      <c r="Y122" s="2"/>
      <c r="Z122" s="19">
        <f t="shared" si="108"/>
        <v>-0.75336065573770494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 t="shared" ref="D123:D125" si="109">0</f>
        <v>0</v>
      </c>
      <c r="E123" s="2"/>
      <c r="F123" s="19">
        <f t="shared" si="101"/>
        <v>0</v>
      </c>
      <c r="G123" s="2"/>
      <c r="H123" s="2">
        <v>6825</v>
      </c>
      <c r="I123" s="2"/>
      <c r="J123" s="19">
        <f t="shared" si="102"/>
        <v>1.2826054273472149E-2</v>
      </c>
      <c r="K123" s="2"/>
      <c r="L123" s="2">
        <f t="shared" si="103"/>
        <v>-6825</v>
      </c>
      <c r="M123" s="2"/>
      <c r="N123" s="19">
        <f t="shared" si="104"/>
        <v>-1</v>
      </c>
      <c r="O123" s="11"/>
      <c r="P123" s="2">
        <f>0</f>
        <v>0</v>
      </c>
      <c r="Q123" s="2"/>
      <c r="R123" s="19">
        <f t="shared" si="105"/>
        <v>0</v>
      </c>
      <c r="S123" s="2"/>
      <c r="T123" s="2">
        <v>22298</v>
      </c>
      <c r="U123" s="2"/>
      <c r="V123" s="19">
        <f t="shared" si="106"/>
        <v>6.6745231553390644E-3</v>
      </c>
      <c r="W123" s="2"/>
      <c r="X123" s="2">
        <f t="shared" si="107"/>
        <v>-22298</v>
      </c>
      <c r="Y123" s="2"/>
      <c r="Z123" s="19">
        <f t="shared" si="108"/>
        <v>-1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 t="shared" si="109"/>
        <v>0</v>
      </c>
      <c r="E124" s="2"/>
      <c r="F124" s="19">
        <f t="shared" si="101"/>
        <v>0</v>
      </c>
      <c r="G124" s="2"/>
      <c r="H124" s="2">
        <v>1321</v>
      </c>
      <c r="I124" s="2"/>
      <c r="J124" s="19">
        <f t="shared" si="102"/>
        <v>2.4825227392317522E-3</v>
      </c>
      <c r="K124" s="2"/>
      <c r="L124" s="2">
        <f t="shared" si="103"/>
        <v>-1321</v>
      </c>
      <c r="M124" s="2"/>
      <c r="N124" s="19">
        <f t="shared" si="104"/>
        <v>-1</v>
      </c>
      <c r="O124" s="11"/>
      <c r="P124" s="2">
        <f>--12882.96</f>
        <v>12882.96</v>
      </c>
      <c r="Q124" s="2"/>
      <c r="R124" s="19">
        <f t="shared" si="105"/>
        <v>1.0433886706298605E-2</v>
      </c>
      <c r="S124" s="2"/>
      <c r="T124" s="2">
        <v>9451</v>
      </c>
      <c r="U124" s="2"/>
      <c r="V124" s="19">
        <f t="shared" si="106"/>
        <v>2.828994454260898E-3</v>
      </c>
      <c r="W124" s="2"/>
      <c r="X124" s="2">
        <f t="shared" si="107"/>
        <v>3431.9599999999991</v>
      </c>
      <c r="Y124" s="2"/>
      <c r="Z124" s="19">
        <f t="shared" si="108"/>
        <v>0.36313194370966029</v>
      </c>
    </row>
    <row r="125" spans="1:26" s="24" customFormat="1" hidden="1" outlineLevel="1" x14ac:dyDescent="0.25">
      <c r="A125" s="44"/>
      <c r="B125" s="11" t="str">
        <f>CONCATENATE("          ", "9165", " - ", "OTHER INCOME")</f>
        <v xml:space="preserve">          9165 - OTHER INCOME</v>
      </c>
      <c r="C125" s="11"/>
      <c r="D125" s="2">
        <f t="shared" si="109"/>
        <v>0</v>
      </c>
      <c r="E125" s="2"/>
      <c r="F125" s="19">
        <f t="shared" si="101"/>
        <v>0</v>
      </c>
      <c r="G125" s="2"/>
      <c r="H125" s="2"/>
      <c r="I125" s="2"/>
      <c r="J125" s="19">
        <f t="shared" si="102"/>
        <v>0</v>
      </c>
      <c r="K125" s="2"/>
      <c r="L125" s="2">
        <f t="shared" si="103"/>
        <v>0</v>
      </c>
      <c r="M125" s="2"/>
      <c r="N125" s="19">
        <f t="shared" si="104"/>
        <v>0</v>
      </c>
      <c r="O125" s="11"/>
      <c r="P125" s="2">
        <f>--3138.21</f>
        <v>3138.21</v>
      </c>
      <c r="Q125" s="2"/>
      <c r="R125" s="19">
        <f t="shared" si="105"/>
        <v>2.5416307743386106E-3</v>
      </c>
      <c r="S125" s="2"/>
      <c r="T125" s="2"/>
      <c r="U125" s="2"/>
      <c r="V125" s="19">
        <f t="shared" si="106"/>
        <v>0</v>
      </c>
      <c r="W125" s="2"/>
      <c r="X125" s="2">
        <f t="shared" si="107"/>
        <v>3138.21</v>
      </c>
      <c r="Y125" s="2"/>
      <c r="Z125" s="19">
        <f t="shared" si="108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9" t="s">
        <v>277</v>
      </c>
      <c r="C127" s="29"/>
      <c r="D127" s="20">
        <f>+D27-D29+D121</f>
        <v>-207630.97999999989</v>
      </c>
      <c r="E127" s="14"/>
      <c r="F127" s="21">
        <f>IF(D$12=0,0,D127/D$12)</f>
        <v>-1.3929241023973831</v>
      </c>
      <c r="G127" s="14"/>
      <c r="H127" s="20">
        <f>+H27-H29+H121</f>
        <v>-78537.225689955638</v>
      </c>
      <c r="I127" s="14"/>
      <c r="J127" s="21">
        <f>IF(H$12=0,0,H127/H$12)</f>
        <v>-0.14759307240839592</v>
      </c>
      <c r="K127" s="16"/>
      <c r="L127" s="20">
        <f>+D127-H127</f>
        <v>-129093.75431004426</v>
      </c>
      <c r="M127" s="16"/>
      <c r="N127" s="21">
        <f>IF(H127=0,0,L127/H127)</f>
        <v>1.6437269482840218</v>
      </c>
      <c r="O127" s="28"/>
      <c r="P127" s="20">
        <f>+P27-P29+P121</f>
        <v>-2136789.3899999997</v>
      </c>
      <c r="Q127" s="14"/>
      <c r="R127" s="21">
        <f>IF(P$12=0,0,P127/P$12)</f>
        <v>-1.7305819788682804</v>
      </c>
      <c r="S127" s="14"/>
      <c r="T127" s="20">
        <f>+T27-T29+T121</f>
        <v>-1796441.135563015</v>
      </c>
      <c r="U127" s="14"/>
      <c r="V127" s="21">
        <f>IF(T$12=0,0,T127/T$12)</f>
        <v>-0.53773378583365983</v>
      </c>
      <c r="W127" s="16"/>
      <c r="X127" s="20">
        <f>+P127-T127</f>
        <v>-340348.25443698466</v>
      </c>
      <c r="Y127" s="16"/>
      <c r="Z127" s="21">
        <f>IF(T127=0,0,X127/T127)</f>
        <v>0.18945694779490649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128</v>
      </c>
      <c r="C129" s="10"/>
      <c r="D129" s="4">
        <v>39466.06</v>
      </c>
      <c r="E129" s="4"/>
      <c r="F129" s="12">
        <f>IF(D$12=0,0,D129/D$12)</f>
        <v>0.26476408386003519</v>
      </c>
      <c r="G129" s="4"/>
      <c r="H129" s="4">
        <v>107753</v>
      </c>
      <c r="I129" s="4"/>
      <c r="J129" s="12">
        <f>IF(H$12=0,0,H129/H$12)</f>
        <v>0.20249755694204316</v>
      </c>
      <c r="K129" s="4"/>
      <c r="L129" s="4">
        <f>+D129-H129</f>
        <v>-68286.94</v>
      </c>
      <c r="M129" s="4"/>
      <c r="N129" s="12">
        <f>IF(H129=0,0,L129/H129)</f>
        <v>-0.63373585886239825</v>
      </c>
      <c r="O129" s="10"/>
      <c r="P129" s="4">
        <v>254465.94</v>
      </c>
      <c r="Q129" s="4"/>
      <c r="R129" s="12">
        <f>IF(P$12=0,0,P129/P$12)</f>
        <v>0.20609151845319543</v>
      </c>
      <c r="S129" s="4"/>
      <c r="T129" s="4">
        <v>590780</v>
      </c>
      <c r="U129" s="4"/>
      <c r="V129" s="12">
        <f>IF(T$12=0,0,T129/T$12)</f>
        <v>0.17683984167688638</v>
      </c>
      <c r="W129" s="4"/>
      <c r="X129" s="4">
        <f>+P129-T129</f>
        <v>-336314.06</v>
      </c>
      <c r="Y129" s="4"/>
      <c r="Z129" s="12">
        <f>IF(T129=0,0,X129/T129)</f>
        <v>-0.56927123463895191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126</v>
      </c>
      <c r="C131" s="29"/>
      <c r="D131" s="34">
        <f>+D127-D129</f>
        <v>-247097.03999999989</v>
      </c>
      <c r="E131" s="14"/>
      <c r="F131" s="30">
        <f>IF(D$12=0,0,D131/D$12)</f>
        <v>-1.6576881862574184</v>
      </c>
      <c r="G131" s="14"/>
      <c r="H131" s="34">
        <f>+H127-H129</f>
        <v>-186290.22568995564</v>
      </c>
      <c r="I131" s="14"/>
      <c r="J131" s="30">
        <f>IF(H$12=0,0,H131/H$12)</f>
        <v>-0.35009062935043905</v>
      </c>
      <c r="K131" s="16"/>
      <c r="L131" s="34">
        <f>D131-H131</f>
        <v>-60806.814310044254</v>
      </c>
      <c r="M131" s="16"/>
      <c r="N131" s="30">
        <f>IF(H131=0,0,L131/H131)</f>
        <v>0.32640904311987651</v>
      </c>
      <c r="O131" s="28"/>
      <c r="P131" s="34">
        <f>+P127-P129</f>
        <v>-2391255.3299999996</v>
      </c>
      <c r="Q131" s="14"/>
      <c r="R131" s="30">
        <f>IF(P$12=0,0,P131/P$12)</f>
        <v>-1.9366734973214759</v>
      </c>
      <c r="S131" s="14"/>
      <c r="T131" s="34">
        <f>+T127-T129</f>
        <v>-2387221.135563015</v>
      </c>
      <c r="U131" s="14"/>
      <c r="V131" s="30">
        <f>IF(T$12=0,0,T131/T$12)</f>
        <v>-0.71457362751054621</v>
      </c>
      <c r="W131" s="16"/>
      <c r="X131" s="34">
        <f>P131-T131</f>
        <v>-4034.1944369846024</v>
      </c>
      <c r="Y131" s="16"/>
      <c r="Z131" s="30">
        <f>IF(T131=0,0,X131/T131)</f>
        <v>1.6899123323290937E-3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294</v>
      </c>
      <c r="C134" s="29"/>
      <c r="D134" s="31">
        <f>SUM(D131:D133)</f>
        <v>-247097.03999999989</v>
      </c>
      <c r="E134" s="14"/>
      <c r="F134" s="35">
        <f>IF(D$12=0,0,D134/D$12)</f>
        <v>-1.6576881862574184</v>
      </c>
      <c r="G134" s="14"/>
      <c r="H134" s="31">
        <f>SUM(H131:H133)</f>
        <v>-186290.22568995564</v>
      </c>
      <c r="I134" s="14"/>
      <c r="J134" s="35">
        <f>IF(H$12=0,0,H134/H$12)</f>
        <v>-0.35009062935043905</v>
      </c>
      <c r="K134" s="16"/>
      <c r="L134" s="31">
        <f>+D134-H134</f>
        <v>-60806.814310044254</v>
      </c>
      <c r="M134" s="16"/>
      <c r="N134" s="35">
        <f>IF(H134=0,0,L134/H134)</f>
        <v>0.32640904311987651</v>
      </c>
      <c r="O134" s="28"/>
      <c r="P134" s="31">
        <f>SUM(P131:P133)</f>
        <v>-2391255.3299999996</v>
      </c>
      <c r="Q134" s="14"/>
      <c r="R134" s="35">
        <f>IF(P$12=0,0,P134/P$12)</f>
        <v>-1.9366734973214759</v>
      </c>
      <c r="S134" s="14"/>
      <c r="T134" s="31">
        <f>SUM(T131:T133)</f>
        <v>-2387221.135563015</v>
      </c>
      <c r="U134" s="14"/>
      <c r="V134" s="35">
        <f>IF(T$12=0,0,T134/T$12)</f>
        <v>-0.71457362751054621</v>
      </c>
      <c r="W134" s="16"/>
      <c r="X134" s="31">
        <f>+P134-T134</f>
        <v>-4034.1944369846024</v>
      </c>
      <c r="Y134" s="16"/>
      <c r="Z134" s="35">
        <f>IF(T134=0,0,X134/T134)</f>
        <v>1.6899123323290937E-3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>
        <v>44295.961772256946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3" t="s">
        <v>56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4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57365.04</v>
      </c>
      <c r="E12" s="4"/>
      <c r="F12" s="12"/>
      <c r="G12" s="4"/>
      <c r="H12" s="4">
        <f>SUM(OSRRefH13x_0)</f>
        <v>133361</v>
      </c>
      <c r="I12" s="4"/>
      <c r="J12" s="12"/>
      <c r="K12" s="4"/>
      <c r="L12" s="4">
        <f t="shared" ref="L12:L24" si="0">+D12-H12</f>
        <v>-75995.959999999992</v>
      </c>
      <c r="M12" s="4"/>
      <c r="N12" s="12">
        <f t="shared" ref="N12:N24" si="1">IF(H12=0,0,L12/H12)</f>
        <v>-0.56985145582291663</v>
      </c>
      <c r="O12" s="10"/>
      <c r="P12" s="4">
        <f>SUM(OSRRefP13x_0)</f>
        <v>386353.91999999998</v>
      </c>
      <c r="Q12" s="4"/>
      <c r="R12" s="12"/>
      <c r="S12" s="4"/>
      <c r="T12" s="4">
        <f>SUM(OSRRefT13x_0)</f>
        <v>655052</v>
      </c>
      <c r="U12" s="4"/>
      <c r="V12" s="12"/>
      <c r="W12" s="4"/>
      <c r="X12" s="4">
        <f t="shared" ref="X12:X24" si="2">+P12-T12</f>
        <v>-268698.08</v>
      </c>
      <c r="Y12" s="4"/>
      <c r="Z12" s="12">
        <f t="shared" ref="Z12:Z24" si="3">IF(T12=0,0,X12/T12)</f>
        <v>-0.41019351135482374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17926</v>
      </c>
      <c r="I13" s="2"/>
      <c r="J13" s="19"/>
      <c r="K13" s="2"/>
      <c r="L13" s="2">
        <f t="shared" si="0"/>
        <v>-17926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98434</v>
      </c>
      <c r="U13" s="2"/>
      <c r="V13" s="19"/>
      <c r="W13" s="2"/>
      <c r="X13" s="2">
        <f t="shared" si="2"/>
        <v>-98434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--2604.58</f>
        <v>2604.58</v>
      </c>
      <c r="E16" s="2"/>
      <c r="F16" s="19"/>
      <c r="G16" s="2"/>
      <c r="H16" s="2"/>
      <c r="I16" s="2"/>
      <c r="J16" s="19"/>
      <c r="K16" s="2"/>
      <c r="L16" s="2">
        <f t="shared" si="0"/>
        <v>2604.58</v>
      </c>
      <c r="M16" s="2"/>
      <c r="N16" s="19">
        <f t="shared" si="1"/>
        <v>0</v>
      </c>
      <c r="O16" s="11"/>
      <c r="P16" s="2">
        <f>--25569.06</f>
        <v>25569.06</v>
      </c>
      <c r="Q16" s="2"/>
      <c r="R16" s="19"/>
      <c r="S16" s="2"/>
      <c r="T16" s="2"/>
      <c r="U16" s="2"/>
      <c r="V16" s="19"/>
      <c r="W16" s="2"/>
      <c r="X16" s="2">
        <f t="shared" si="2"/>
        <v>25569.06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--51782.31</f>
        <v>51782.31</v>
      </c>
      <c r="E17" s="2"/>
      <c r="F17" s="19"/>
      <c r="G17" s="2"/>
      <c r="H17" s="2"/>
      <c r="I17" s="2"/>
      <c r="J17" s="19"/>
      <c r="K17" s="2"/>
      <c r="L17" s="2">
        <f t="shared" si="0"/>
        <v>51782.31</v>
      </c>
      <c r="M17" s="2"/>
      <c r="N17" s="19">
        <f t="shared" si="1"/>
        <v>0</v>
      </c>
      <c r="O17" s="11"/>
      <c r="P17" s="2">
        <f>--331940.11</f>
        <v>331940.11</v>
      </c>
      <c r="Q17" s="2"/>
      <c r="R17" s="19"/>
      <c r="S17" s="2"/>
      <c r="T17" s="2"/>
      <c r="U17" s="2"/>
      <c r="V17" s="19"/>
      <c r="W17" s="2"/>
      <c r="X17" s="2">
        <f t="shared" si="2"/>
        <v>331940.11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ref="D18:D22" si="5"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--974.91</f>
        <v>974.91</v>
      </c>
      <c r="Q18" s="2"/>
      <c r="R18" s="19"/>
      <c r="S18" s="2"/>
      <c r="T18" s="2"/>
      <c r="U18" s="2"/>
      <c r="V18" s="19"/>
      <c r="W18" s="2"/>
      <c r="X18" s="2">
        <f t="shared" si="2"/>
        <v>974.91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115435</v>
      </c>
      <c r="I19" s="2"/>
      <c r="J19" s="19"/>
      <c r="K19" s="2"/>
      <c r="L19" s="2">
        <f t="shared" si="0"/>
        <v>-115435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556618</v>
      </c>
      <c r="U19" s="2"/>
      <c r="V19" s="19"/>
      <c r="W19" s="2"/>
      <c r="X19" s="2">
        <f t="shared" si="2"/>
        <v>-556618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--2031.88</f>
        <v>2031.88</v>
      </c>
      <c r="Q20" s="2"/>
      <c r="R20" s="19"/>
      <c r="S20" s="2"/>
      <c r="T20" s="2"/>
      <c r="U20" s="2"/>
      <c r="V20" s="19"/>
      <c r="W20" s="2"/>
      <c r="X20" s="2">
        <f t="shared" si="2"/>
        <v>2031.88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6">0</f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6"/>
        <v>0</v>
      </c>
      <c r="Q22" s="2"/>
      <c r="R22" s="19"/>
      <c r="S22" s="2"/>
      <c r="T22" s="2"/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--2877.6</f>
        <v>2877.6</v>
      </c>
      <c r="E23" s="2"/>
      <c r="F23" s="19"/>
      <c r="G23" s="2"/>
      <c r="H23" s="2"/>
      <c r="I23" s="2"/>
      <c r="J23" s="19"/>
      <c r="K23" s="2"/>
      <c r="L23" s="2">
        <f t="shared" si="0"/>
        <v>2877.6</v>
      </c>
      <c r="M23" s="2"/>
      <c r="N23" s="19">
        <f t="shared" si="1"/>
        <v>0</v>
      </c>
      <c r="O23" s="11"/>
      <c r="P23" s="2">
        <f>--25048.82</f>
        <v>25048.82</v>
      </c>
      <c r="Q23" s="2"/>
      <c r="R23" s="19"/>
      <c r="S23" s="2"/>
      <c r="T23" s="2"/>
      <c r="U23" s="2"/>
      <c r="V23" s="19"/>
      <c r="W23" s="2"/>
      <c r="X23" s="2">
        <f t="shared" si="2"/>
        <v>25048.82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"4153", " - ", "NON-TAXABLE SALES-FOOD")</f>
        <v xml:space="preserve">          4153 - NON-TAXABLE SALES-FOOD</v>
      </c>
      <c r="C24" s="11"/>
      <c r="D24" s="2">
        <f>--100.55</f>
        <v>100.55</v>
      </c>
      <c r="E24" s="2"/>
      <c r="F24" s="19"/>
      <c r="G24" s="2"/>
      <c r="H24" s="2"/>
      <c r="I24" s="2"/>
      <c r="J24" s="19"/>
      <c r="K24" s="2"/>
      <c r="L24" s="2">
        <f t="shared" si="0"/>
        <v>100.55</v>
      </c>
      <c r="M24" s="2"/>
      <c r="N24" s="19">
        <f t="shared" si="1"/>
        <v>0</v>
      </c>
      <c r="O24" s="11"/>
      <c r="P24" s="2">
        <f>--344.55</f>
        <v>344.55</v>
      </c>
      <c r="Q24" s="2"/>
      <c r="R24" s="19"/>
      <c r="S24" s="2"/>
      <c r="T24" s="2"/>
      <c r="U24" s="2"/>
      <c r="V24" s="19"/>
      <c r="W24" s="2"/>
      <c r="X24" s="2">
        <f t="shared" si="2"/>
        <v>344.55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257</v>
      </c>
      <c r="C26" s="10"/>
      <c r="D26" s="4">
        <f>SUM(OSRRefD16x_0)</f>
        <v>-6014.89</v>
      </c>
      <c r="E26" s="4"/>
      <c r="F26" s="12">
        <f t="shared" ref="F26:F29" si="7">IF(D$12=0,0,D26/D$12)</f>
        <v>-0.10485288600862128</v>
      </c>
      <c r="G26" s="4"/>
      <c r="H26" s="4">
        <f>SUM(OSRRefH16x_0)</f>
        <v>59677</v>
      </c>
      <c r="I26" s="4"/>
      <c r="J26" s="12">
        <f t="shared" ref="J26:J29" si="8">IF(H$12=0,0,H26/H$12)</f>
        <v>0.44748464693576084</v>
      </c>
      <c r="K26" s="4"/>
      <c r="L26" s="4">
        <f t="shared" ref="L26:L29" si="9">+D26-H26</f>
        <v>-65691.89</v>
      </c>
      <c r="M26" s="4"/>
      <c r="N26" s="12">
        <f t="shared" ref="N26:N29" si="10">IF(H26=0,0,L26/H26)</f>
        <v>-1.1007907569080215</v>
      </c>
      <c r="O26" s="10"/>
      <c r="P26" s="4">
        <f>SUM(OSRRefP16x_0)</f>
        <v>37863.31</v>
      </c>
      <c r="Q26" s="4"/>
      <c r="R26" s="12">
        <f t="shared" ref="R26:R29" si="11">IF(P$12=0,0,P26/P$12)</f>
        <v>9.8001619861913136E-2</v>
      </c>
      <c r="S26" s="4"/>
      <c r="T26" s="4">
        <f>SUM(OSRRefT16x_0)</f>
        <v>274547</v>
      </c>
      <c r="U26" s="4"/>
      <c r="V26" s="12">
        <f t="shared" ref="V26:V29" si="12">IF(T$12=0,0,T26/T$12)</f>
        <v>0.41912245134737397</v>
      </c>
      <c r="W26" s="4"/>
      <c r="X26" s="4">
        <f t="shared" ref="X26:X29" si="13">+P26-T26</f>
        <v>-236683.69</v>
      </c>
      <c r="Y26" s="4"/>
      <c r="Z26" s="12">
        <f t="shared" ref="Z26:Z29" si="14">IF(T26=0,0,X26/T26)</f>
        <v>-0.86208805778245623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7"/>
        <v>0</v>
      </c>
      <c r="G27" s="2"/>
      <c r="H27" s="2">
        <v>59677</v>
      </c>
      <c r="I27" s="2"/>
      <c r="J27" s="19">
        <f t="shared" si="8"/>
        <v>0.44748464693576084</v>
      </c>
      <c r="K27" s="2"/>
      <c r="L27" s="2">
        <f t="shared" si="9"/>
        <v>-59677</v>
      </c>
      <c r="M27" s="2"/>
      <c r="N27" s="19">
        <f t="shared" si="10"/>
        <v>-1</v>
      </c>
      <c r="O27" s="11"/>
      <c r="P27" s="2"/>
      <c r="Q27" s="2"/>
      <c r="R27" s="19">
        <f t="shared" si="11"/>
        <v>0</v>
      </c>
      <c r="S27" s="2"/>
      <c r="T27" s="2">
        <v>274547</v>
      </c>
      <c r="U27" s="2"/>
      <c r="V27" s="19">
        <f t="shared" si="12"/>
        <v>0.41912245134737397</v>
      </c>
      <c r="W27" s="2"/>
      <c r="X27" s="2">
        <f t="shared" si="13"/>
        <v>-274547</v>
      </c>
      <c r="Y27" s="2"/>
      <c r="Z27" s="19">
        <f t="shared" si="14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-5534.89</v>
      </c>
      <c r="E28" s="2"/>
      <c r="F28" s="19">
        <f t="shared" si="7"/>
        <v>-9.6485420388445653E-2</v>
      </c>
      <c r="G28" s="2"/>
      <c r="H28" s="2"/>
      <c r="I28" s="2"/>
      <c r="J28" s="19">
        <f t="shared" si="8"/>
        <v>0</v>
      </c>
      <c r="K28" s="2"/>
      <c r="L28" s="2">
        <f t="shared" si="9"/>
        <v>-5534.89</v>
      </c>
      <c r="M28" s="2"/>
      <c r="N28" s="19">
        <f t="shared" si="10"/>
        <v>0</v>
      </c>
      <c r="O28" s="11"/>
      <c r="P28" s="2">
        <v>1747.32</v>
      </c>
      <c r="Q28" s="2"/>
      <c r="R28" s="19">
        <f t="shared" si="11"/>
        <v>4.5225890292506935E-3</v>
      </c>
      <c r="S28" s="2"/>
      <c r="T28" s="2"/>
      <c r="U28" s="2"/>
      <c r="V28" s="19">
        <f t="shared" si="12"/>
        <v>0</v>
      </c>
      <c r="W28" s="2"/>
      <c r="X28" s="2">
        <f t="shared" si="13"/>
        <v>1747.32</v>
      </c>
      <c r="Y28" s="2"/>
      <c r="Z28" s="19">
        <f t="shared" si="14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-480</v>
      </c>
      <c r="E29" s="2"/>
      <c r="F29" s="19">
        <f t="shared" si="7"/>
        <v>-8.3674656201756323E-3</v>
      </c>
      <c r="G29" s="2"/>
      <c r="H29" s="2"/>
      <c r="I29" s="2"/>
      <c r="J29" s="19">
        <f t="shared" si="8"/>
        <v>0</v>
      </c>
      <c r="K29" s="2"/>
      <c r="L29" s="2">
        <f t="shared" si="9"/>
        <v>-480</v>
      </c>
      <c r="M29" s="2"/>
      <c r="N29" s="19">
        <f t="shared" si="10"/>
        <v>0</v>
      </c>
      <c r="O29" s="11"/>
      <c r="P29" s="2">
        <v>36115.99</v>
      </c>
      <c r="Q29" s="2"/>
      <c r="R29" s="19">
        <f t="shared" si="11"/>
        <v>9.3479030832662444E-2</v>
      </c>
      <c r="S29" s="2"/>
      <c r="T29" s="2"/>
      <c r="U29" s="2"/>
      <c r="V29" s="19">
        <f t="shared" si="12"/>
        <v>0</v>
      </c>
      <c r="W29" s="2"/>
      <c r="X29" s="2">
        <f t="shared" si="13"/>
        <v>36115.99</v>
      </c>
      <c r="Y29" s="2"/>
      <c r="Z29" s="19">
        <f t="shared" si="14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108</v>
      </c>
      <c r="C31" s="29"/>
      <c r="D31" s="20">
        <f>D12-D26</f>
        <v>63379.93</v>
      </c>
      <c r="E31" s="14"/>
      <c r="F31" s="21">
        <f>IF(D$12=0,0,D31/D$12)</f>
        <v>1.1048528860086213</v>
      </c>
      <c r="G31" s="14"/>
      <c r="H31" s="20">
        <f>H12-H26</f>
        <v>73684</v>
      </c>
      <c r="I31" s="14"/>
      <c r="J31" s="21">
        <f>IF(H$12=0,0,H31/H$12)</f>
        <v>0.55251535306423916</v>
      </c>
      <c r="K31" s="16"/>
      <c r="L31" s="20">
        <f>+D31-H31</f>
        <v>-10304.07</v>
      </c>
      <c r="M31" s="16"/>
      <c r="N31" s="21">
        <f>IF(H31=0,0,L31/H31)</f>
        <v>-0.13984134954671298</v>
      </c>
      <c r="O31" s="28"/>
      <c r="P31" s="20">
        <f>P12-P26</f>
        <v>348490.61</v>
      </c>
      <c r="Q31" s="14"/>
      <c r="R31" s="21">
        <f>IF(P$12=0,0,P31/P$12)</f>
        <v>0.90199838013808686</v>
      </c>
      <c r="S31" s="14"/>
      <c r="T31" s="20">
        <f>T12-T26</f>
        <v>380505</v>
      </c>
      <c r="U31" s="14"/>
      <c r="V31" s="21">
        <f>IF(T$12=0,0,T31/T$12)</f>
        <v>0.58087754865262609</v>
      </c>
      <c r="W31" s="16"/>
      <c r="X31" s="20">
        <f>+P31-T31</f>
        <v>-32014.390000000014</v>
      </c>
      <c r="Y31" s="16"/>
      <c r="Z31" s="21">
        <f>IF(T31=0,0,X31/T31)</f>
        <v>-8.4136581648072986E-2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295</v>
      </c>
      <c r="C33" s="10"/>
      <c r="D33" s="22">
        <f>SUM(OSRRefD22x_0)</f>
        <v>112201.27000000002</v>
      </c>
      <c r="E33" s="22"/>
      <c r="F33" s="32">
        <f t="shared" ref="F33:F43" si="15">IF(D$12=0,0,D33/D$12)</f>
        <v>1.9559172276355079</v>
      </c>
      <c r="G33" s="22"/>
      <c r="H33" s="22">
        <f>SUM(OSRRefH22x_0)</f>
        <v>174011.24067147946</v>
      </c>
      <c r="I33" s="22"/>
      <c r="J33" s="32">
        <f t="shared" ref="J33:J43" si="16">IF(H$12=0,0,H33/H$12)</f>
        <v>1.3048135562231797</v>
      </c>
      <c r="K33" s="4"/>
      <c r="L33" s="22">
        <f t="shared" ref="L33:L43" si="17">+D33-H33</f>
        <v>-61809.970671479445</v>
      </c>
      <c r="M33" s="4"/>
      <c r="N33" s="32">
        <f t="shared" ref="N33:N43" si="18">IF(H33=0,0,L33/H33)</f>
        <v>-0.3552067695912367</v>
      </c>
      <c r="O33" s="10"/>
      <c r="P33" s="22">
        <f>SUM(OSRRefP22x_0)</f>
        <v>1209915.94</v>
      </c>
      <c r="Q33" s="22"/>
      <c r="R33" s="32">
        <f t="shared" ref="R33:R43" si="19">IF(P$12=0,0,P33/P$12)</f>
        <v>3.1316258936883572</v>
      </c>
      <c r="S33" s="22"/>
      <c r="T33" s="22">
        <f>SUM(OSRRefT22x_0)</f>
        <v>1489745.839386035</v>
      </c>
      <c r="U33" s="22"/>
      <c r="V33" s="32">
        <f t="shared" ref="V33:V43" si="20">IF(T$12=0,0,T33/T$12)</f>
        <v>2.2742405784365745</v>
      </c>
      <c r="W33" s="4"/>
      <c r="X33" s="22">
        <f t="shared" ref="X33:X43" si="21">+P33-T33</f>
        <v>-279829.89938603505</v>
      </c>
      <c r="Y33" s="4"/>
      <c r="Z33" s="32">
        <f t="shared" ref="Z33:Z43" si="22">IF(T33=0,0,X33/T33)</f>
        <v>-0.18783734244316508</v>
      </c>
    </row>
    <row r="34" spans="1:26" s="25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18745.780000000002</v>
      </c>
      <c r="E34" s="1"/>
      <c r="F34" s="5">
        <f t="shared" si="15"/>
        <v>0.32678056181953336</v>
      </c>
      <c r="G34" s="1"/>
      <c r="H34" s="1">
        <f>SUM(OSRRefH22_0x_0)</f>
        <v>21738.067645838419</v>
      </c>
      <c r="I34" s="1"/>
      <c r="J34" s="5">
        <f t="shared" si="16"/>
        <v>0.16300168449425559</v>
      </c>
      <c r="K34" s="1"/>
      <c r="L34" s="1">
        <f t="shared" si="17"/>
        <v>-2992.2876458384162</v>
      </c>
      <c r="M34" s="1"/>
      <c r="N34" s="5">
        <f t="shared" si="18"/>
        <v>-0.13765196127776638</v>
      </c>
      <c r="O34" s="13"/>
      <c r="P34" s="1">
        <f>SUM(OSRRefP22_0x_0)</f>
        <v>221841.23</v>
      </c>
      <c r="Q34" s="1"/>
      <c r="R34" s="5">
        <f t="shared" si="19"/>
        <v>0.57419174108547943</v>
      </c>
      <c r="S34" s="1"/>
      <c r="T34" s="1">
        <f>SUM(OSRRefT22_0x_0)</f>
        <v>193532.59568603503</v>
      </c>
      <c r="U34" s="1"/>
      <c r="V34" s="5">
        <f t="shared" si="20"/>
        <v>0.29544615646702099</v>
      </c>
      <c r="W34" s="1"/>
      <c r="X34" s="1">
        <f t="shared" si="21"/>
        <v>28308.634313964983</v>
      </c>
      <c r="Y34" s="1"/>
      <c r="Z34" s="5">
        <f t="shared" si="22"/>
        <v>0.14627321156736639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7">
        <v>2329.63</v>
      </c>
      <c r="E35" s="2"/>
      <c r="F35" s="6">
        <f t="shared" si="15"/>
        <v>4.0610622776520333E-2</v>
      </c>
      <c r="G35" s="2"/>
      <c r="H35" s="7">
        <v>2631.8545140692299</v>
      </c>
      <c r="I35" s="2"/>
      <c r="J35" s="6">
        <f t="shared" si="16"/>
        <v>1.9734813881638783E-2</v>
      </c>
      <c r="K35" s="2"/>
      <c r="L35" s="7">
        <f t="shared" si="17"/>
        <v>-302.22451406922983</v>
      </c>
      <c r="M35" s="2"/>
      <c r="N35" s="6">
        <f t="shared" si="18"/>
        <v>-0.11483329053852098</v>
      </c>
      <c r="O35" s="11"/>
      <c r="P35" s="7">
        <v>25979.72</v>
      </c>
      <c r="Q35" s="2"/>
      <c r="R35" s="6">
        <f t="shared" si="19"/>
        <v>6.7243319286109493E-2</v>
      </c>
      <c r="S35" s="2"/>
      <c r="T35" s="7">
        <v>24409.331892149999</v>
      </c>
      <c r="U35" s="2"/>
      <c r="V35" s="6">
        <f t="shared" si="20"/>
        <v>3.7263197260904476E-2</v>
      </c>
      <c r="W35" s="2"/>
      <c r="X35" s="7">
        <f t="shared" si="21"/>
        <v>1570.3881078500017</v>
      </c>
      <c r="Y35" s="2"/>
      <c r="Z35" s="6">
        <f t="shared" si="22"/>
        <v>6.4335562922762171E-2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7">
        <v>611.25</v>
      </c>
      <c r="E36" s="2"/>
      <c r="F36" s="6">
        <f t="shared" si="15"/>
        <v>1.0655444500692408E-2</v>
      </c>
      <c r="G36" s="2"/>
      <c r="H36" s="7">
        <v>1511.6120485384599</v>
      </c>
      <c r="I36" s="2"/>
      <c r="J36" s="6">
        <f t="shared" si="16"/>
        <v>1.1334738405819242E-2</v>
      </c>
      <c r="K36" s="2"/>
      <c r="L36" s="7">
        <f t="shared" si="17"/>
        <v>-900.36204853845993</v>
      </c>
      <c r="M36" s="2"/>
      <c r="N36" s="6">
        <f t="shared" si="18"/>
        <v>-0.595630373156259</v>
      </c>
      <c r="O36" s="11"/>
      <c r="P36" s="7">
        <v>7234.14</v>
      </c>
      <c r="Q36" s="2"/>
      <c r="R36" s="6">
        <f t="shared" si="19"/>
        <v>1.8724127349348495E-2</v>
      </c>
      <c r="S36" s="2"/>
      <c r="T36" s="7">
        <v>9911.0775534999993</v>
      </c>
      <c r="U36" s="2"/>
      <c r="V36" s="6">
        <f t="shared" si="20"/>
        <v>1.5130214934844866E-2</v>
      </c>
      <c r="W36" s="2"/>
      <c r="X36" s="7">
        <f t="shared" si="21"/>
        <v>-2676.937553499999</v>
      </c>
      <c r="Y36" s="2"/>
      <c r="Z36" s="6">
        <f t="shared" si="22"/>
        <v>-0.27009551071010085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7">
        <v>8554.93</v>
      </c>
      <c r="E37" s="2"/>
      <c r="F37" s="6">
        <f t="shared" si="15"/>
        <v>0.14913142220418568</v>
      </c>
      <c r="G37" s="2"/>
      <c r="H37" s="7">
        <v>11221.1538461538</v>
      </c>
      <c r="I37" s="2"/>
      <c r="J37" s="6">
        <f t="shared" si="16"/>
        <v>8.414119454828474E-2</v>
      </c>
      <c r="K37" s="2"/>
      <c r="L37" s="7">
        <f t="shared" si="17"/>
        <v>-2666.2238461538</v>
      </c>
      <c r="M37" s="2"/>
      <c r="N37" s="6">
        <f t="shared" si="18"/>
        <v>-0.23760692373607226</v>
      </c>
      <c r="O37" s="11"/>
      <c r="P37" s="7">
        <v>104664.36</v>
      </c>
      <c r="Q37" s="2"/>
      <c r="R37" s="6">
        <f t="shared" si="19"/>
        <v>0.2709028033156749</v>
      </c>
      <c r="S37" s="2"/>
      <c r="T37" s="7">
        <v>102074.884615385</v>
      </c>
      <c r="U37" s="2"/>
      <c r="V37" s="6">
        <f t="shared" si="20"/>
        <v>0.15582714748658885</v>
      </c>
      <c r="W37" s="2"/>
      <c r="X37" s="7">
        <f t="shared" si="21"/>
        <v>2589.4753846149979</v>
      </c>
      <c r="Y37" s="2"/>
      <c r="Z37" s="6">
        <f t="shared" si="22"/>
        <v>2.5368389044690676E-2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7">
        <v>78.73</v>
      </c>
      <c r="E38" s="2"/>
      <c r="F38" s="6">
        <f t="shared" si="15"/>
        <v>1.3724386839092243E-3</v>
      </c>
      <c r="G38" s="2"/>
      <c r="H38" s="7">
        <v>164.517134</v>
      </c>
      <c r="I38" s="2"/>
      <c r="J38" s="6">
        <f t="shared" si="16"/>
        <v>1.2336225283253726E-3</v>
      </c>
      <c r="K38" s="2"/>
      <c r="L38" s="7">
        <f t="shared" si="17"/>
        <v>-85.787133999999995</v>
      </c>
      <c r="M38" s="2"/>
      <c r="N38" s="6">
        <f t="shared" si="18"/>
        <v>-0.52144802133496926</v>
      </c>
      <c r="O38" s="11"/>
      <c r="P38" s="7">
        <v>965.4</v>
      </c>
      <c r="Q38" s="2"/>
      <c r="R38" s="6">
        <f t="shared" si="19"/>
        <v>2.4987451919732044E-3</v>
      </c>
      <c r="S38" s="2"/>
      <c r="T38" s="7">
        <v>1182.870195</v>
      </c>
      <c r="U38" s="2"/>
      <c r="V38" s="6">
        <f t="shared" si="20"/>
        <v>1.8057653361870508E-3</v>
      </c>
      <c r="W38" s="2"/>
      <c r="X38" s="7">
        <f t="shared" si="21"/>
        <v>-217.47019499999999</v>
      </c>
      <c r="Y38" s="2"/>
      <c r="Z38" s="6">
        <f t="shared" si="22"/>
        <v>-0.18384958545683874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7">
        <v>2783.65</v>
      </c>
      <c r="E39" s="2"/>
      <c r="F39" s="6">
        <f t="shared" si="15"/>
        <v>4.8525199320003959E-2</v>
      </c>
      <c r="G39" s="2"/>
      <c r="H39" s="7">
        <v>2251.18852615385</v>
      </c>
      <c r="I39" s="2"/>
      <c r="J39" s="6">
        <f t="shared" si="16"/>
        <v>1.6880411260817255E-2</v>
      </c>
      <c r="K39" s="2"/>
      <c r="L39" s="7">
        <f t="shared" si="17"/>
        <v>532.46147384615006</v>
      </c>
      <c r="M39" s="2"/>
      <c r="N39" s="6">
        <f t="shared" si="18"/>
        <v>0.23652460363053607</v>
      </c>
      <c r="O39" s="11"/>
      <c r="P39" s="7">
        <v>35235.589999999997</v>
      </c>
      <c r="Q39" s="2"/>
      <c r="R39" s="6">
        <f t="shared" si="19"/>
        <v>9.120029117344014E-2</v>
      </c>
      <c r="S39" s="2"/>
      <c r="T39" s="7">
        <v>21763.052930000002</v>
      </c>
      <c r="U39" s="2"/>
      <c r="V39" s="6">
        <f t="shared" si="20"/>
        <v>3.3223397424937261E-2</v>
      </c>
      <c r="W39" s="2"/>
      <c r="X39" s="7">
        <f t="shared" si="21"/>
        <v>13472.537069999995</v>
      </c>
      <c r="Y39" s="2"/>
      <c r="Z39" s="6">
        <f t="shared" si="22"/>
        <v>0.61905547504451131</v>
      </c>
    </row>
    <row r="40" spans="1:26" s="24" customFormat="1" hidden="1" outlineLevel="2" x14ac:dyDescent="0.25">
      <c r="A40" s="26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5"/>
        <v>0</v>
      </c>
      <c r="G40" s="2"/>
      <c r="H40" s="7">
        <v>0</v>
      </c>
      <c r="I40" s="2"/>
      <c r="J40" s="6">
        <f t="shared" si="16"/>
        <v>0</v>
      </c>
      <c r="K40" s="2"/>
      <c r="L40" s="7">
        <f t="shared" si="17"/>
        <v>0</v>
      </c>
      <c r="M40" s="2"/>
      <c r="N40" s="6">
        <f t="shared" si="18"/>
        <v>0</v>
      </c>
      <c r="O40" s="11"/>
      <c r="P40" s="7"/>
      <c r="Q40" s="2"/>
      <c r="R40" s="6">
        <f t="shared" si="19"/>
        <v>0</v>
      </c>
      <c r="S40" s="2"/>
      <c r="T40" s="7">
        <v>0</v>
      </c>
      <c r="U40" s="2"/>
      <c r="V40" s="6">
        <f t="shared" si="20"/>
        <v>0</v>
      </c>
      <c r="W40" s="2"/>
      <c r="X40" s="7">
        <f t="shared" si="21"/>
        <v>0</v>
      </c>
      <c r="Y40" s="2"/>
      <c r="Z40" s="6">
        <f t="shared" si="22"/>
        <v>0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7">
        <v>2462.92</v>
      </c>
      <c r="E41" s="2"/>
      <c r="F41" s="6">
        <f t="shared" si="15"/>
        <v>4.2934163385922854E-2</v>
      </c>
      <c r="G41" s="2"/>
      <c r="H41" s="7">
        <v>1915.77207692308</v>
      </c>
      <c r="I41" s="2"/>
      <c r="J41" s="6">
        <f t="shared" si="16"/>
        <v>1.4365309775144757E-2</v>
      </c>
      <c r="K41" s="2"/>
      <c r="L41" s="7">
        <f t="shared" si="17"/>
        <v>547.14792307692005</v>
      </c>
      <c r="M41" s="2"/>
      <c r="N41" s="6">
        <f t="shared" si="18"/>
        <v>0.28560178408889531</v>
      </c>
      <c r="O41" s="11"/>
      <c r="P41" s="7">
        <v>26820.92</v>
      </c>
      <c r="Q41" s="2"/>
      <c r="R41" s="6">
        <f t="shared" si="19"/>
        <v>6.9420597570227838E-2</v>
      </c>
      <c r="S41" s="2"/>
      <c r="T41" s="7">
        <v>18458.347750000001</v>
      </c>
      <c r="U41" s="2"/>
      <c r="V41" s="6">
        <f t="shared" si="20"/>
        <v>2.8178446520276255E-2</v>
      </c>
      <c r="W41" s="2"/>
      <c r="X41" s="7">
        <f t="shared" si="21"/>
        <v>8362.5722499999974</v>
      </c>
      <c r="Y41" s="2"/>
      <c r="Z41" s="6">
        <f t="shared" si="22"/>
        <v>0.45305096443423531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7">
        <v>1382.86</v>
      </c>
      <c r="E42" s="2"/>
      <c r="F42" s="6">
        <f t="shared" si="15"/>
        <v>2.4106319807325156E-2</v>
      </c>
      <c r="G42" s="2"/>
      <c r="H42" s="7">
        <v>1516.9694999999999</v>
      </c>
      <c r="I42" s="2"/>
      <c r="J42" s="6">
        <f t="shared" si="16"/>
        <v>1.1374910955976635E-2</v>
      </c>
      <c r="K42" s="2"/>
      <c r="L42" s="7">
        <f t="shared" si="17"/>
        <v>-134.10950000000003</v>
      </c>
      <c r="M42" s="2"/>
      <c r="N42" s="6">
        <f t="shared" si="18"/>
        <v>-8.840619405993333E-2</v>
      </c>
      <c r="O42" s="11"/>
      <c r="P42" s="7">
        <v>15955.32</v>
      </c>
      <c r="Q42" s="2"/>
      <c r="R42" s="6">
        <f t="shared" si="19"/>
        <v>4.1297160903660562E-2</v>
      </c>
      <c r="S42" s="2"/>
      <c r="T42" s="7">
        <v>11008.03075</v>
      </c>
      <c r="U42" s="2"/>
      <c r="V42" s="6">
        <f t="shared" si="20"/>
        <v>1.6804819693703704E-2</v>
      </c>
      <c r="W42" s="2"/>
      <c r="X42" s="7">
        <f t="shared" si="21"/>
        <v>4947.2892499999998</v>
      </c>
      <c r="Y42" s="2"/>
      <c r="Z42" s="6">
        <f t="shared" si="22"/>
        <v>0.44942545695559577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7">
        <v>541.80999999999995</v>
      </c>
      <c r="E43" s="2"/>
      <c r="F43" s="6">
        <f t="shared" si="15"/>
        <v>9.4449511409736651E-3</v>
      </c>
      <c r="G43" s="2"/>
      <c r="H43" s="7">
        <v>525</v>
      </c>
      <c r="I43" s="2"/>
      <c r="J43" s="6">
        <f t="shared" si="16"/>
        <v>3.9366831382488133E-3</v>
      </c>
      <c r="K43" s="2"/>
      <c r="L43" s="7">
        <f t="shared" si="17"/>
        <v>16.809999999999945</v>
      </c>
      <c r="M43" s="2"/>
      <c r="N43" s="6">
        <f t="shared" si="18"/>
        <v>3.2019047619047517E-2</v>
      </c>
      <c r="O43" s="11"/>
      <c r="P43" s="7">
        <v>4985.78</v>
      </c>
      <c r="Q43" s="2"/>
      <c r="R43" s="6">
        <f t="shared" si="19"/>
        <v>1.2904696295044709E-2</v>
      </c>
      <c r="S43" s="2"/>
      <c r="T43" s="7">
        <v>4725</v>
      </c>
      <c r="U43" s="2"/>
      <c r="V43" s="6">
        <f t="shared" si="20"/>
        <v>7.2131678095784758E-3</v>
      </c>
      <c r="W43" s="2"/>
      <c r="X43" s="7">
        <f t="shared" si="21"/>
        <v>260.77999999999975</v>
      </c>
      <c r="Y43" s="2"/>
      <c r="Z43" s="6">
        <f t="shared" si="22"/>
        <v>5.519153439153434E-2</v>
      </c>
    </row>
    <row r="44" spans="1:26" s="25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27420.030000000002</v>
      </c>
      <c r="E44" s="1"/>
      <c r="F44" s="5">
        <f t="shared" ref="F44:F54" si="23">IF(D$12=0,0,D44/D$12)</f>
        <v>0.47799199651913432</v>
      </c>
      <c r="G44" s="1"/>
      <c r="H44" s="1">
        <f>SUM(OSRRefH22_1x_0)</f>
        <v>60014.839692307702</v>
      </c>
      <c r="I44" s="1"/>
      <c r="J44" s="5">
        <f t="shared" ref="J44:J54" si="24">IF(H$12=0,0,H44/H$12)</f>
        <v>0.45001791897412063</v>
      </c>
      <c r="K44" s="1"/>
      <c r="L44" s="1">
        <f t="shared" ref="L44:L54" si="25">+D44-H44</f>
        <v>-32594.809692307699</v>
      </c>
      <c r="M44" s="1"/>
      <c r="N44" s="5">
        <f t="shared" ref="N44:N54" si="26">IF(H44=0,0,L44/H44)</f>
        <v>-0.5431125011650324</v>
      </c>
      <c r="O44" s="13"/>
      <c r="P44" s="1">
        <f>SUM(OSRRefP22_1x_0)</f>
        <v>302884.70000000007</v>
      </c>
      <c r="Q44" s="1"/>
      <c r="R44" s="5">
        <f t="shared" ref="R44:R54" si="27">IF(P$12=0,0,P44/P$12)</f>
        <v>0.78395658571291338</v>
      </c>
      <c r="S44" s="1"/>
      <c r="T44" s="1">
        <f>SUM(OSRRefT22_1x_0)</f>
        <v>426702.24370000011</v>
      </c>
      <c r="U44" s="1"/>
      <c r="V44" s="5">
        <f t="shared" ref="V44:V54" si="28">IF(T$12=0,0,T44/T$12)</f>
        <v>0.65140209281095263</v>
      </c>
      <c r="W44" s="1"/>
      <c r="X44" s="1">
        <f t="shared" ref="X44:X54" si="29">+P44-T44</f>
        <v>-123817.54370000004</v>
      </c>
      <c r="Y44" s="1"/>
      <c r="Z44" s="5">
        <f t="shared" ref="Z44:Z54" si="30">IF(T44=0,0,X44/T44)</f>
        <v>-0.29017317234228551</v>
      </c>
    </row>
    <row r="45" spans="1:26" s="24" customFormat="1" hidden="1" outlineLevel="2" x14ac:dyDescent="0.25">
      <c r="A45" s="26"/>
      <c r="B45" s="11" t="str">
        <f>CONCATENATE("          ", "6001", " - ", "ADMINISTRATIVE SALARIES")</f>
        <v xml:space="preserve">          6001 - ADMINISTRATIVE SALARIES</v>
      </c>
      <c r="C45" s="11"/>
      <c r="D45" s="7">
        <v>10037.35</v>
      </c>
      <c r="E45" s="2"/>
      <c r="F45" s="6">
        <f t="shared" si="23"/>
        <v>0.17497329383889562</v>
      </c>
      <c r="G45" s="2"/>
      <c r="H45" s="7">
        <v>15250.007692307699</v>
      </c>
      <c r="I45" s="2"/>
      <c r="J45" s="6">
        <f t="shared" si="24"/>
        <v>0.11435132979137604</v>
      </c>
      <c r="K45" s="2"/>
      <c r="L45" s="7">
        <f t="shared" si="25"/>
        <v>-5212.6576923076991</v>
      </c>
      <c r="M45" s="2"/>
      <c r="N45" s="6">
        <f t="shared" si="26"/>
        <v>-0.34181344675236008</v>
      </c>
      <c r="O45" s="11"/>
      <c r="P45" s="7">
        <v>97219.25</v>
      </c>
      <c r="Q45" s="2"/>
      <c r="R45" s="6">
        <f t="shared" si="27"/>
        <v>0.25163262223403871</v>
      </c>
      <c r="S45" s="2"/>
      <c r="T45" s="7">
        <v>148687.57500000001</v>
      </c>
      <c r="U45" s="2"/>
      <c r="V45" s="6">
        <f t="shared" si="28"/>
        <v>0.22698591104217683</v>
      </c>
      <c r="W45" s="2"/>
      <c r="X45" s="7">
        <f t="shared" si="29"/>
        <v>-51468.325000000012</v>
      </c>
      <c r="Y45" s="2"/>
      <c r="Z45" s="6">
        <f t="shared" si="30"/>
        <v>-0.34615081320681979</v>
      </c>
    </row>
    <row r="46" spans="1:26" s="24" customFormat="1" hidden="1" outlineLevel="2" x14ac:dyDescent="0.25">
      <c r="A46" s="26"/>
      <c r="B46" s="11" t="str">
        <f>CONCATENATE("          ", "6002", " - ", "STAFF SALARIES")</f>
        <v xml:space="preserve">          6002 - STAFF SALARIES</v>
      </c>
      <c r="C46" s="11"/>
      <c r="D46" s="7">
        <v>14052.4</v>
      </c>
      <c r="E46" s="2"/>
      <c r="F46" s="6">
        <f t="shared" si="23"/>
        <v>0.24496452891865847</v>
      </c>
      <c r="G46" s="2"/>
      <c r="H46" s="7">
        <v>8587.2420000000002</v>
      </c>
      <c r="I46" s="2"/>
      <c r="J46" s="6">
        <f t="shared" si="24"/>
        <v>6.4390953877070514E-2</v>
      </c>
      <c r="K46" s="2"/>
      <c r="L46" s="7">
        <f t="shared" si="25"/>
        <v>5465.1579999999994</v>
      </c>
      <c r="M46" s="2"/>
      <c r="N46" s="6">
        <f t="shared" si="26"/>
        <v>0.63642762134804154</v>
      </c>
      <c r="O46" s="11"/>
      <c r="P46" s="7">
        <v>175141.41</v>
      </c>
      <c r="Q46" s="2"/>
      <c r="R46" s="6">
        <f t="shared" si="27"/>
        <v>0.45331857898581696</v>
      </c>
      <c r="S46" s="2"/>
      <c r="T46" s="7">
        <v>81778.729500000001</v>
      </c>
      <c r="U46" s="2"/>
      <c r="V46" s="6">
        <f t="shared" si="28"/>
        <v>0.12484311092859804</v>
      </c>
      <c r="W46" s="2"/>
      <c r="X46" s="7">
        <f t="shared" si="29"/>
        <v>93362.680500000002</v>
      </c>
      <c r="Y46" s="2"/>
      <c r="Z46" s="6">
        <f t="shared" si="30"/>
        <v>1.1416499262195068</v>
      </c>
    </row>
    <row r="47" spans="1:26" s="24" customFormat="1" hidden="1" outlineLevel="2" x14ac:dyDescent="0.25">
      <c r="A47" s="26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3"/>
        <v>0</v>
      </c>
      <c r="G47" s="2"/>
      <c r="H47" s="7">
        <v>0</v>
      </c>
      <c r="I47" s="2"/>
      <c r="J47" s="6">
        <f t="shared" si="24"/>
        <v>0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/>
      <c r="Q47" s="2"/>
      <c r="R47" s="6">
        <f t="shared" si="27"/>
        <v>0</v>
      </c>
      <c r="S47" s="2"/>
      <c r="T47" s="7">
        <v>0</v>
      </c>
      <c r="U47" s="2"/>
      <c r="V47" s="6">
        <f t="shared" si="28"/>
        <v>0</v>
      </c>
      <c r="W47" s="2"/>
      <c r="X47" s="7">
        <f t="shared" si="29"/>
        <v>0</v>
      </c>
      <c r="Y47" s="2"/>
      <c r="Z47" s="6">
        <f t="shared" si="30"/>
        <v>0</v>
      </c>
    </row>
    <row r="48" spans="1:26" s="24" customFormat="1" hidden="1" outlineLevel="2" x14ac:dyDescent="0.25">
      <c r="A48" s="26"/>
      <c r="B48" s="11" t="str">
        <f>CONCATENATE("          ", "6004", " - ", "STAFF HOURLY")</f>
        <v xml:space="preserve">          6004 - STAFF HOURLY</v>
      </c>
      <c r="C48" s="11"/>
      <c r="D48" s="7">
        <v>2789.95</v>
      </c>
      <c r="E48" s="2"/>
      <c r="F48" s="6">
        <f t="shared" si="23"/>
        <v>4.863502230626876E-2</v>
      </c>
      <c r="G48" s="2"/>
      <c r="H48" s="7">
        <v>7883.63</v>
      </c>
      <c r="I48" s="2"/>
      <c r="J48" s="6">
        <f t="shared" si="24"/>
        <v>5.9114958646080941E-2</v>
      </c>
      <c r="K48" s="2"/>
      <c r="L48" s="7">
        <f t="shared" si="25"/>
        <v>-5093.68</v>
      </c>
      <c r="M48" s="2"/>
      <c r="N48" s="6">
        <f t="shared" si="26"/>
        <v>-0.64610845511521975</v>
      </c>
      <c r="O48" s="11"/>
      <c r="P48" s="7">
        <v>24559.33</v>
      </c>
      <c r="Q48" s="2"/>
      <c r="R48" s="6">
        <f t="shared" si="27"/>
        <v>6.3566923301826478E-2</v>
      </c>
      <c r="S48" s="2"/>
      <c r="T48" s="7">
        <v>59601.34</v>
      </c>
      <c r="U48" s="2"/>
      <c r="V48" s="6">
        <f t="shared" si="28"/>
        <v>9.0987188803331634E-2</v>
      </c>
      <c r="W48" s="2"/>
      <c r="X48" s="7">
        <f t="shared" si="29"/>
        <v>-35042.009999999995</v>
      </c>
      <c r="Y48" s="2"/>
      <c r="Z48" s="6">
        <f t="shared" si="30"/>
        <v>-0.58793996913492208</v>
      </c>
    </row>
    <row r="49" spans="1:26" s="24" customFormat="1" hidden="1" outlineLevel="2" x14ac:dyDescent="0.25">
      <c r="A49" s="26"/>
      <c r="B49" s="11" t="str">
        <f>CONCATENATE("          ", "6005", " - ", "TEMPORARY WAGES-HOURLY")</f>
        <v xml:space="preserve">          6005 - TEMPORARY WAGES-HOURLY</v>
      </c>
      <c r="C49" s="11"/>
      <c r="D49" s="7">
        <v>172.33</v>
      </c>
      <c r="E49" s="2"/>
      <c r="F49" s="6">
        <f t="shared" si="23"/>
        <v>3.0040944798434728E-3</v>
      </c>
      <c r="G49" s="2"/>
      <c r="H49" s="7">
        <v>13363.484</v>
      </c>
      <c r="I49" s="2"/>
      <c r="J49" s="6">
        <f t="shared" si="24"/>
        <v>0.10020533739249106</v>
      </c>
      <c r="K49" s="2"/>
      <c r="L49" s="7">
        <f t="shared" si="25"/>
        <v>-13191.154</v>
      </c>
      <c r="M49" s="2"/>
      <c r="N49" s="6">
        <f t="shared" si="26"/>
        <v>-0.9871044107958673</v>
      </c>
      <c r="O49" s="11"/>
      <c r="P49" s="7">
        <v>5041</v>
      </c>
      <c r="Q49" s="2"/>
      <c r="R49" s="6">
        <f t="shared" si="27"/>
        <v>1.3047622242321238E-2</v>
      </c>
      <c r="S49" s="2"/>
      <c r="T49" s="7">
        <v>63025.606</v>
      </c>
      <c r="U49" s="2"/>
      <c r="V49" s="6">
        <f t="shared" si="28"/>
        <v>9.6214660820820336E-2</v>
      </c>
      <c r="W49" s="2"/>
      <c r="X49" s="7">
        <f t="shared" si="29"/>
        <v>-57984.606</v>
      </c>
      <c r="Y49" s="2"/>
      <c r="Z49" s="6">
        <f t="shared" si="30"/>
        <v>-0.92001663577816295</v>
      </c>
    </row>
    <row r="50" spans="1:26" s="24" customFormat="1" hidden="1" outlineLevel="2" x14ac:dyDescent="0.25">
      <c r="A50" s="26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4" customFormat="1" hidden="1" outlineLevel="2" x14ac:dyDescent="0.25">
      <c r="A51" s="26"/>
      <c r="B51" s="11" t="str">
        <f>CONCATENATE("          ", "6007", " - ", "STUDENT HOURLY")</f>
        <v xml:space="preserve">          6007 - STUDENT HOURLY</v>
      </c>
      <c r="C51" s="11"/>
      <c r="D51" s="7">
        <v>368</v>
      </c>
      <c r="E51" s="2"/>
      <c r="F51" s="6">
        <f t="shared" si="23"/>
        <v>6.4150569754679856E-3</v>
      </c>
      <c r="G51" s="2"/>
      <c r="H51" s="7">
        <v>0</v>
      </c>
      <c r="I51" s="2"/>
      <c r="J51" s="6">
        <f t="shared" si="24"/>
        <v>0</v>
      </c>
      <c r="K51" s="2"/>
      <c r="L51" s="7">
        <f t="shared" si="25"/>
        <v>368</v>
      </c>
      <c r="M51" s="2"/>
      <c r="N51" s="6">
        <f t="shared" si="26"/>
        <v>0</v>
      </c>
      <c r="O51" s="11"/>
      <c r="P51" s="7">
        <v>923.71</v>
      </c>
      <c r="Q51" s="2"/>
      <c r="R51" s="6">
        <f t="shared" si="27"/>
        <v>2.3908389489098493E-3</v>
      </c>
      <c r="S51" s="2"/>
      <c r="T51" s="7">
        <v>3202.94</v>
      </c>
      <c r="U51" s="2"/>
      <c r="V51" s="6">
        <f t="shared" si="28"/>
        <v>4.8895965511134998E-3</v>
      </c>
      <c r="W51" s="2"/>
      <c r="X51" s="7">
        <f t="shared" si="29"/>
        <v>-2279.23</v>
      </c>
      <c r="Y51" s="2"/>
      <c r="Z51" s="6">
        <f t="shared" si="30"/>
        <v>-0.71160558736660695</v>
      </c>
    </row>
    <row r="52" spans="1:26" s="24" customFormat="1" hidden="1" outlineLevel="2" x14ac:dyDescent="0.25">
      <c r="A52" s="26"/>
      <c r="B52" s="11" t="str">
        <f>CONCATENATE("          ", "6008", " - ", "STUDENT HOURLY-FICA EXEMPT")</f>
        <v xml:space="preserve">          6008 - STUDENT HOURLY-FICA EXEMPT</v>
      </c>
      <c r="C52" s="11"/>
      <c r="D52" s="7"/>
      <c r="E52" s="2"/>
      <c r="F52" s="6">
        <f t="shared" si="23"/>
        <v>0</v>
      </c>
      <c r="G52" s="2"/>
      <c r="H52" s="7">
        <v>14930.476000000001</v>
      </c>
      <c r="I52" s="2"/>
      <c r="J52" s="6">
        <f t="shared" si="24"/>
        <v>0.11195533926710208</v>
      </c>
      <c r="K52" s="2"/>
      <c r="L52" s="7">
        <f t="shared" si="25"/>
        <v>-14930.476000000001</v>
      </c>
      <c r="M52" s="2"/>
      <c r="N52" s="6">
        <f t="shared" si="26"/>
        <v>-1</v>
      </c>
      <c r="O52" s="11"/>
      <c r="P52" s="7"/>
      <c r="Q52" s="2"/>
      <c r="R52" s="6">
        <f t="shared" si="27"/>
        <v>0</v>
      </c>
      <c r="S52" s="2"/>
      <c r="T52" s="7">
        <v>70406.053199999995</v>
      </c>
      <c r="U52" s="2"/>
      <c r="V52" s="6">
        <f t="shared" si="28"/>
        <v>0.1074816246649121</v>
      </c>
      <c r="W52" s="2"/>
      <c r="X52" s="7">
        <f t="shared" si="29"/>
        <v>-70406.053199999995</v>
      </c>
      <c r="Y52" s="2"/>
      <c r="Z52" s="6">
        <f t="shared" si="30"/>
        <v>-1</v>
      </c>
    </row>
    <row r="53" spans="1:26" s="24" customFormat="1" hidden="1" outlineLevel="2" x14ac:dyDescent="0.25">
      <c r="A53" s="26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6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5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155.19</v>
      </c>
      <c r="E55" s="1"/>
      <c r="F55" s="5">
        <f t="shared" ref="F55:F64" si="31">IF(D$12=0,0,D55/D$12)</f>
        <v>2.7053062283230343E-3</v>
      </c>
      <c r="G55" s="1"/>
      <c r="H55" s="1">
        <f>SUM(OSRRefH22_2x_0)</f>
        <v>700</v>
      </c>
      <c r="I55" s="1"/>
      <c r="J55" s="5">
        <f t="shared" ref="J55:J64" si="32">IF(H$12=0,0,H55/H$12)</f>
        <v>5.2489108509984174E-3</v>
      </c>
      <c r="K55" s="1"/>
      <c r="L55" s="1">
        <f t="shared" ref="L55:L64" si="33">+D55-H55</f>
        <v>-544.80999999999995</v>
      </c>
      <c r="M55" s="1"/>
      <c r="N55" s="5">
        <f t="shared" ref="N55:N64" si="34">IF(H55=0,0,L55/H55)</f>
        <v>-0.77829999999999988</v>
      </c>
      <c r="O55" s="13"/>
      <c r="P55" s="1">
        <f>SUM(OSRRefP22_2x_0)</f>
        <v>373.02</v>
      </c>
      <c r="Q55" s="1"/>
      <c r="R55" s="5">
        <f t="shared" ref="R55:R64" si="35">IF(P$12=0,0,P55/P$12)</f>
        <v>9.6548780972637732E-4</v>
      </c>
      <c r="S55" s="1"/>
      <c r="T55" s="1">
        <f>SUM(OSRRefT22_2x_0)</f>
        <v>8428</v>
      </c>
      <c r="U55" s="1"/>
      <c r="V55" s="5">
        <f t="shared" ref="V55:V64" si="36">IF(T$12=0,0,T55/T$12)</f>
        <v>1.286615413738146E-2</v>
      </c>
      <c r="W55" s="1"/>
      <c r="X55" s="1">
        <f t="shared" ref="X55:X64" si="37">+P55-T55</f>
        <v>-8054.98</v>
      </c>
      <c r="Y55" s="1"/>
      <c r="Z55" s="5">
        <f t="shared" ref="Z55:Z64" si="38">IF(T55=0,0,X55/T55)</f>
        <v>-0.95574038917892734</v>
      </c>
    </row>
    <row r="56" spans="1:26" s="24" customFormat="1" hidden="1" outlineLevel="2" x14ac:dyDescent="0.25">
      <c r="A56" s="26"/>
      <c r="B56" s="11" t="str">
        <f>CONCATENATE("          ", "6362", " - ", "ADVERTISING EXPENSE")</f>
        <v xml:space="preserve">          6362 - ADVERTISING EXPENSE</v>
      </c>
      <c r="C56" s="11"/>
      <c r="D56" s="7">
        <v>155.19</v>
      </c>
      <c r="E56" s="2"/>
      <c r="F56" s="6">
        <f t="shared" si="31"/>
        <v>2.7053062283230343E-3</v>
      </c>
      <c r="G56" s="2"/>
      <c r="H56" s="7">
        <v>700</v>
      </c>
      <c r="I56" s="2"/>
      <c r="J56" s="6">
        <f t="shared" si="32"/>
        <v>5.2489108509984174E-3</v>
      </c>
      <c r="K56" s="2"/>
      <c r="L56" s="7">
        <f t="shared" si="33"/>
        <v>-544.80999999999995</v>
      </c>
      <c r="M56" s="2"/>
      <c r="N56" s="6">
        <f t="shared" si="34"/>
        <v>-0.77829999999999988</v>
      </c>
      <c r="O56" s="11"/>
      <c r="P56" s="7">
        <v>373.02</v>
      </c>
      <c r="Q56" s="2"/>
      <c r="R56" s="6">
        <f t="shared" si="35"/>
        <v>9.6548780972637732E-4</v>
      </c>
      <c r="S56" s="2"/>
      <c r="T56" s="7">
        <v>8428</v>
      </c>
      <c r="U56" s="2"/>
      <c r="V56" s="6">
        <f t="shared" si="36"/>
        <v>1.286615413738146E-2</v>
      </c>
      <c r="W56" s="2"/>
      <c r="X56" s="7">
        <f t="shared" si="37"/>
        <v>-8054.98</v>
      </c>
      <c r="Y56" s="2"/>
      <c r="Z56" s="6">
        <f t="shared" si="38"/>
        <v>-0.95574038917892734</v>
      </c>
    </row>
    <row r="57" spans="1:26" s="25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-0.39</v>
      </c>
      <c r="E57" s="1"/>
      <c r="F57" s="5">
        <f t="shared" si="31"/>
        <v>-6.7985658163927024E-6</v>
      </c>
      <c r="G57" s="1"/>
      <c r="H57" s="1">
        <f>SUM(OSRRefH22_3x_0)</f>
        <v>13</v>
      </c>
      <c r="I57" s="1"/>
      <c r="J57" s="5">
        <f t="shared" si="32"/>
        <v>9.7479772947113479E-5</v>
      </c>
      <c r="K57" s="1"/>
      <c r="L57" s="1">
        <f t="shared" si="33"/>
        <v>-13.39</v>
      </c>
      <c r="M57" s="1"/>
      <c r="N57" s="5">
        <f t="shared" si="34"/>
        <v>-1.03</v>
      </c>
      <c r="O57" s="13"/>
      <c r="P57" s="1">
        <f>SUM(OSRRefP22_3x_0)</f>
        <v>11.71</v>
      </c>
      <c r="Q57" s="1"/>
      <c r="R57" s="5">
        <f t="shared" si="35"/>
        <v>3.0308997511918608E-5</v>
      </c>
      <c r="S57" s="1"/>
      <c r="T57" s="1">
        <f>SUM(OSRRefT22_3x_0)</f>
        <v>147</v>
      </c>
      <c r="U57" s="1"/>
      <c r="V57" s="5">
        <f t="shared" si="36"/>
        <v>2.2440966518688592E-4</v>
      </c>
      <c r="W57" s="1"/>
      <c r="X57" s="1">
        <f t="shared" si="37"/>
        <v>-135.29</v>
      </c>
      <c r="Y57" s="1"/>
      <c r="Z57" s="5">
        <f t="shared" si="38"/>
        <v>-0.92034013605442166</v>
      </c>
    </row>
    <row r="58" spans="1:26" s="24" customFormat="1" hidden="1" outlineLevel="2" x14ac:dyDescent="0.25">
      <c r="A58" s="26"/>
      <c r="B58" s="11" t="str">
        <f>CONCATENATE("          ", "6272", " - ", "CASH (OVER/SHORT)")</f>
        <v xml:space="preserve">          6272 - CASH (OVER/SHORT)</v>
      </c>
      <c r="C58" s="11"/>
      <c r="D58" s="7">
        <v>-0.39</v>
      </c>
      <c r="E58" s="2"/>
      <c r="F58" s="6">
        <f t="shared" si="31"/>
        <v>-6.7985658163927024E-6</v>
      </c>
      <c r="G58" s="2"/>
      <c r="H58" s="7">
        <v>13</v>
      </c>
      <c r="I58" s="2"/>
      <c r="J58" s="6">
        <f t="shared" si="32"/>
        <v>9.7479772947113479E-5</v>
      </c>
      <c r="K58" s="2"/>
      <c r="L58" s="7">
        <f t="shared" si="33"/>
        <v>-13.39</v>
      </c>
      <c r="M58" s="2"/>
      <c r="N58" s="6">
        <f t="shared" si="34"/>
        <v>-1.03</v>
      </c>
      <c r="O58" s="11"/>
      <c r="P58" s="7">
        <v>11.71</v>
      </c>
      <c r="Q58" s="2"/>
      <c r="R58" s="6">
        <f t="shared" si="35"/>
        <v>3.0308997511918608E-5</v>
      </c>
      <c r="S58" s="2"/>
      <c r="T58" s="7">
        <v>147</v>
      </c>
      <c r="U58" s="2"/>
      <c r="V58" s="6">
        <f t="shared" si="36"/>
        <v>2.2440966518688592E-4</v>
      </c>
      <c r="W58" s="2"/>
      <c r="X58" s="7">
        <f t="shared" si="37"/>
        <v>-135.29</v>
      </c>
      <c r="Y58" s="2"/>
      <c r="Z58" s="6">
        <f t="shared" si="38"/>
        <v>-0.92034013605442166</v>
      </c>
    </row>
    <row r="59" spans="1:26" s="25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874.41</v>
      </c>
      <c r="E59" s="1"/>
      <c r="F59" s="5">
        <f t="shared" si="31"/>
        <v>1.5242907526953698E-2</v>
      </c>
      <c r="G59" s="1"/>
      <c r="H59" s="1">
        <f>SUM(OSRRefH22_4x_0)</f>
        <v>6738</v>
      </c>
      <c r="I59" s="1"/>
      <c r="J59" s="5">
        <f t="shared" si="32"/>
        <v>5.0524516162896202E-2</v>
      </c>
      <c r="K59" s="1"/>
      <c r="L59" s="1">
        <f t="shared" si="33"/>
        <v>-5863.59</v>
      </c>
      <c r="M59" s="1"/>
      <c r="N59" s="5">
        <f t="shared" si="34"/>
        <v>-0.87022707034728408</v>
      </c>
      <c r="O59" s="13"/>
      <c r="P59" s="1">
        <f>SUM(OSRRefP22_4x_0)</f>
        <v>6946.03</v>
      </c>
      <c r="Q59" s="1"/>
      <c r="R59" s="5">
        <f t="shared" si="35"/>
        <v>1.7978412125338343E-2</v>
      </c>
      <c r="S59" s="1"/>
      <c r="T59" s="1">
        <f>SUM(OSRRefT22_4x_0)</f>
        <v>63727</v>
      </c>
      <c r="U59" s="1"/>
      <c r="V59" s="5">
        <f t="shared" si="36"/>
        <v>9.7285406349419581E-2</v>
      </c>
      <c r="W59" s="1"/>
      <c r="X59" s="1">
        <f t="shared" si="37"/>
        <v>-56780.97</v>
      </c>
      <c r="Y59" s="1"/>
      <c r="Z59" s="5">
        <f t="shared" si="38"/>
        <v>-0.89100334238234968</v>
      </c>
    </row>
    <row r="60" spans="1:26" s="24" customFormat="1" hidden="1" outlineLevel="2" x14ac:dyDescent="0.25">
      <c r="A60" s="26"/>
      <c r="B60" s="11" t="str">
        <f>CONCATENATE("          ", "6381", " - ", "BANK/CREDIT CARD FEES")</f>
        <v xml:space="preserve">          6381 - BANK/CREDIT CARD FEES</v>
      </c>
      <c r="C60" s="11"/>
      <c r="D60" s="7">
        <v>874.41</v>
      </c>
      <c r="E60" s="2"/>
      <c r="F60" s="6">
        <f t="shared" si="31"/>
        <v>1.5242907526953698E-2</v>
      </c>
      <c r="G60" s="2"/>
      <c r="H60" s="7">
        <v>6738</v>
      </c>
      <c r="I60" s="2"/>
      <c r="J60" s="6">
        <f t="shared" si="32"/>
        <v>5.0524516162896202E-2</v>
      </c>
      <c r="K60" s="2"/>
      <c r="L60" s="7">
        <f t="shared" si="33"/>
        <v>-5863.59</v>
      </c>
      <c r="M60" s="2"/>
      <c r="N60" s="6">
        <f t="shared" si="34"/>
        <v>-0.87022707034728408</v>
      </c>
      <c r="O60" s="11"/>
      <c r="P60" s="7">
        <v>6946.03</v>
      </c>
      <c r="Q60" s="2"/>
      <c r="R60" s="6">
        <f t="shared" si="35"/>
        <v>1.7978412125338343E-2</v>
      </c>
      <c r="S60" s="2"/>
      <c r="T60" s="7">
        <v>63727</v>
      </c>
      <c r="U60" s="2"/>
      <c r="V60" s="6">
        <f t="shared" si="36"/>
        <v>9.7285406349419581E-2</v>
      </c>
      <c r="W60" s="2"/>
      <c r="X60" s="7">
        <f t="shared" si="37"/>
        <v>-56780.97</v>
      </c>
      <c r="Y60" s="2"/>
      <c r="Z60" s="6">
        <f t="shared" si="38"/>
        <v>-0.89100334238234968</v>
      </c>
    </row>
    <row r="61" spans="1:26" s="25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45872.85</v>
      </c>
      <c r="E61" s="1"/>
      <c r="F61" s="5">
        <f t="shared" si="31"/>
        <v>0.79966561515515366</v>
      </c>
      <c r="G61" s="1"/>
      <c r="H61" s="1">
        <f>SUM(OSRRefH22_5x_0)</f>
        <v>46280</v>
      </c>
      <c r="I61" s="1"/>
      <c r="J61" s="5">
        <f t="shared" si="32"/>
        <v>0.34702799169172399</v>
      </c>
      <c r="K61" s="1"/>
      <c r="L61" s="1">
        <f t="shared" si="33"/>
        <v>-407.15000000000146</v>
      </c>
      <c r="M61" s="1"/>
      <c r="N61" s="5">
        <f t="shared" si="34"/>
        <v>-8.7975367329300221E-3</v>
      </c>
      <c r="O61" s="13"/>
      <c r="P61" s="1">
        <f>SUM(OSRRefP22_5x_0)</f>
        <v>415860.45</v>
      </c>
      <c r="Q61" s="1"/>
      <c r="R61" s="5">
        <f t="shared" si="35"/>
        <v>1.0763717629680063</v>
      </c>
      <c r="S61" s="1"/>
      <c r="T61" s="1">
        <f>SUM(OSRRefT22_5x_0)</f>
        <v>419572</v>
      </c>
      <c r="U61" s="1"/>
      <c r="V61" s="5">
        <f t="shared" si="36"/>
        <v>0.64051708871967417</v>
      </c>
      <c r="W61" s="1"/>
      <c r="X61" s="1">
        <f t="shared" si="37"/>
        <v>-3711.5499999999884</v>
      </c>
      <c r="Y61" s="1"/>
      <c r="Z61" s="5">
        <f t="shared" si="38"/>
        <v>-8.8460383438360712E-3</v>
      </c>
    </row>
    <row r="62" spans="1:26" s="24" customFormat="1" hidden="1" outlineLevel="2" x14ac:dyDescent="0.25">
      <c r="A62" s="26"/>
      <c r="B62" s="11" t="str">
        <f>CONCATENATE("          ", "6321", " - ", "BUILDING DEPRECIATION")</f>
        <v xml:space="preserve">          6321 - BUILDING DEPRECIATION</v>
      </c>
      <c r="C62" s="11"/>
      <c r="D62" s="7">
        <v>28664</v>
      </c>
      <c r="E62" s="2"/>
      <c r="F62" s="6">
        <f t="shared" si="31"/>
        <v>0.49967715528482154</v>
      </c>
      <c r="G62" s="2"/>
      <c r="H62" s="7"/>
      <c r="I62" s="2"/>
      <c r="J62" s="6">
        <f t="shared" si="32"/>
        <v>0</v>
      </c>
      <c r="K62" s="2"/>
      <c r="L62" s="7">
        <f t="shared" si="33"/>
        <v>28664</v>
      </c>
      <c r="M62" s="2"/>
      <c r="N62" s="6">
        <f t="shared" si="34"/>
        <v>0</v>
      </c>
      <c r="O62" s="11"/>
      <c r="P62" s="7">
        <v>258760.19</v>
      </c>
      <c r="Q62" s="2"/>
      <c r="R62" s="6">
        <f t="shared" si="35"/>
        <v>0.66974909947853001</v>
      </c>
      <c r="S62" s="2"/>
      <c r="T62" s="7"/>
      <c r="U62" s="2"/>
      <c r="V62" s="6">
        <f t="shared" si="36"/>
        <v>0</v>
      </c>
      <c r="W62" s="2"/>
      <c r="X62" s="7">
        <f t="shared" si="37"/>
        <v>258760.19</v>
      </c>
      <c r="Y62" s="2"/>
      <c r="Z62" s="6">
        <f t="shared" si="38"/>
        <v>0</v>
      </c>
    </row>
    <row r="63" spans="1:26" s="24" customFormat="1" hidden="1" outlineLevel="2" x14ac:dyDescent="0.25">
      <c r="A63" s="26"/>
      <c r="B63" s="11" t="str">
        <f>CONCATENATE("          ", "6322", " - ", "EQUIPMENT DEPRECIATION EXPENSE")</f>
        <v xml:space="preserve">          6322 - EQUIPMENT DEPRECIATION EXPENSE</v>
      </c>
      <c r="C63" s="11"/>
      <c r="D63" s="7">
        <v>17208.849999999999</v>
      </c>
      <c r="E63" s="2"/>
      <c r="F63" s="6">
        <f t="shared" si="31"/>
        <v>0.29998845987033212</v>
      </c>
      <c r="G63" s="2"/>
      <c r="H63" s="7">
        <v>45730</v>
      </c>
      <c r="I63" s="2"/>
      <c r="J63" s="6">
        <f t="shared" si="32"/>
        <v>0.34290384745165381</v>
      </c>
      <c r="K63" s="2"/>
      <c r="L63" s="7">
        <f t="shared" si="33"/>
        <v>-28521.15</v>
      </c>
      <c r="M63" s="2"/>
      <c r="N63" s="6">
        <f t="shared" si="34"/>
        <v>-0.62368576426853273</v>
      </c>
      <c r="O63" s="11"/>
      <c r="P63" s="7">
        <v>157100.26</v>
      </c>
      <c r="Q63" s="2"/>
      <c r="R63" s="6">
        <f t="shared" si="35"/>
        <v>0.40662266348947623</v>
      </c>
      <c r="S63" s="2"/>
      <c r="T63" s="7">
        <v>414622</v>
      </c>
      <c r="U63" s="2"/>
      <c r="V63" s="6">
        <f t="shared" si="36"/>
        <v>0.63296043672868718</v>
      </c>
      <c r="W63" s="2"/>
      <c r="X63" s="7">
        <f t="shared" si="37"/>
        <v>-257521.74</v>
      </c>
      <c r="Y63" s="2"/>
      <c r="Z63" s="6">
        <f t="shared" si="38"/>
        <v>-0.62110003810699865</v>
      </c>
    </row>
    <row r="64" spans="1:26" s="24" customFormat="1" hidden="1" outlineLevel="2" x14ac:dyDescent="0.25">
      <c r="A64" s="26"/>
      <c r="B64" s="11" t="str">
        <f>CONCATENATE("          ", "6326", " - ", "VEHICLES DEPRECIATION EXPENSE")</f>
        <v xml:space="preserve">          6326 - VEHICLES DEPRECIATION EXPENSE</v>
      </c>
      <c r="C64" s="11"/>
      <c r="D64" s="7"/>
      <c r="E64" s="2"/>
      <c r="F64" s="6">
        <f t="shared" si="31"/>
        <v>0</v>
      </c>
      <c r="G64" s="2"/>
      <c r="H64" s="7">
        <v>550</v>
      </c>
      <c r="I64" s="2"/>
      <c r="J64" s="6">
        <f t="shared" si="32"/>
        <v>4.1241442400701857E-3</v>
      </c>
      <c r="K64" s="2"/>
      <c r="L64" s="7">
        <f t="shared" si="33"/>
        <v>-550</v>
      </c>
      <c r="M64" s="2"/>
      <c r="N64" s="6">
        <f t="shared" si="34"/>
        <v>-1</v>
      </c>
      <c r="O64" s="11"/>
      <c r="P64" s="7"/>
      <c r="Q64" s="2"/>
      <c r="R64" s="6">
        <f t="shared" si="35"/>
        <v>0</v>
      </c>
      <c r="S64" s="2"/>
      <c r="T64" s="7">
        <v>4950</v>
      </c>
      <c r="U64" s="2"/>
      <c r="V64" s="6">
        <f t="shared" si="36"/>
        <v>7.5566519909869749E-3</v>
      </c>
      <c r="W64" s="2"/>
      <c r="X64" s="7">
        <f t="shared" si="37"/>
        <v>-4950</v>
      </c>
      <c r="Y64" s="2"/>
      <c r="Z64" s="6">
        <f t="shared" si="38"/>
        <v>-1</v>
      </c>
    </row>
    <row r="65" spans="1:26" s="25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SUM(OSRRefD22_6x_0)</f>
        <v>0</v>
      </c>
      <c r="E65" s="1"/>
      <c r="F65" s="5">
        <f t="shared" ref="F65:F71" si="39">IF(D$12=0,0,D65/D$12)</f>
        <v>0</v>
      </c>
      <c r="G65" s="1"/>
      <c r="H65" s="1">
        <f>SUM(OSRRefH22_6x_0)</f>
        <v>0</v>
      </c>
      <c r="I65" s="1"/>
      <c r="J65" s="5">
        <f t="shared" ref="J65:J71" si="40">IF(H$12=0,0,H65/H$12)</f>
        <v>0</v>
      </c>
      <c r="K65" s="1"/>
      <c r="L65" s="1">
        <f t="shared" ref="L65:L71" si="41">+D65-H65</f>
        <v>0</v>
      </c>
      <c r="M65" s="1"/>
      <c r="N65" s="5">
        <f t="shared" ref="N65:N71" si="42">IF(H65=0,0,L65/H65)</f>
        <v>0</v>
      </c>
      <c r="O65" s="13"/>
      <c r="P65" s="1">
        <f>SUM(OSRRefP22_6x_0)</f>
        <v>10</v>
      </c>
      <c r="Q65" s="1"/>
      <c r="R65" s="5">
        <f t="shared" ref="R65:R71" si="43">IF(P$12=0,0,P65/P$12)</f>
        <v>2.5883003853047485E-5</v>
      </c>
      <c r="S65" s="1"/>
      <c r="T65" s="1">
        <f>SUM(OSRRefT22_6x_0)</f>
        <v>150</v>
      </c>
      <c r="U65" s="1"/>
      <c r="V65" s="5">
        <f t="shared" ref="V65:V71" si="44">IF(T$12=0,0,T65/T$12)</f>
        <v>2.2898945427233259E-4</v>
      </c>
      <c r="W65" s="1"/>
      <c r="X65" s="1">
        <f t="shared" ref="X65:X71" si="45">+P65-T65</f>
        <v>-140</v>
      </c>
      <c r="Y65" s="1"/>
      <c r="Z65" s="5">
        <f t="shared" ref="Z65:Z71" si="46">IF(T65=0,0,X65/T65)</f>
        <v>-0.93333333333333335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39"/>
        <v>0</v>
      </c>
      <c r="G66" s="2"/>
      <c r="H66" s="7">
        <v>0</v>
      </c>
      <c r="I66" s="2"/>
      <c r="J66" s="6">
        <f t="shared" si="40"/>
        <v>0</v>
      </c>
      <c r="K66" s="2"/>
      <c r="L66" s="7">
        <f t="shared" si="41"/>
        <v>0</v>
      </c>
      <c r="M66" s="2"/>
      <c r="N66" s="6">
        <f t="shared" si="42"/>
        <v>0</v>
      </c>
      <c r="O66" s="11"/>
      <c r="P66" s="7">
        <v>10</v>
      </c>
      <c r="Q66" s="2"/>
      <c r="R66" s="6">
        <f t="shared" si="43"/>
        <v>2.5883003853047485E-5</v>
      </c>
      <c r="S66" s="2"/>
      <c r="T66" s="7">
        <v>150</v>
      </c>
      <c r="U66" s="2"/>
      <c r="V66" s="6">
        <f t="shared" si="44"/>
        <v>2.2898945427233259E-4</v>
      </c>
      <c r="W66" s="2"/>
      <c r="X66" s="7">
        <f t="shared" si="45"/>
        <v>-140</v>
      </c>
      <c r="Y66" s="2"/>
      <c r="Z66" s="6">
        <f t="shared" si="46"/>
        <v>-0.93333333333333335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SUM(OSRRefD22_7x_0)</f>
        <v>163.80000000000001</v>
      </c>
      <c r="E67" s="1"/>
      <c r="F67" s="5">
        <f t="shared" si="39"/>
        <v>2.8553976428849349E-3</v>
      </c>
      <c r="G67" s="1"/>
      <c r="H67" s="1">
        <f>SUM(OSRRefH22_7x_0)</f>
        <v>474.33333333333297</v>
      </c>
      <c r="I67" s="1"/>
      <c r="J67" s="5">
        <f t="shared" si="40"/>
        <v>3.5567619718908298E-3</v>
      </c>
      <c r="K67" s="1"/>
      <c r="L67" s="1">
        <f t="shared" si="41"/>
        <v>-310.53333333333296</v>
      </c>
      <c r="M67" s="1"/>
      <c r="N67" s="5">
        <f t="shared" si="42"/>
        <v>-0.65467322557976082</v>
      </c>
      <c r="O67" s="13"/>
      <c r="P67" s="1">
        <f>SUM(OSRRefP22_7x_0)</f>
        <v>5325.18</v>
      </c>
      <c r="Q67" s="1"/>
      <c r="R67" s="5">
        <f t="shared" si="43"/>
        <v>1.3783165445817142E-2</v>
      </c>
      <c r="S67" s="1"/>
      <c r="T67" s="1">
        <f>SUM(OSRRefT22_7x_0)</f>
        <v>3809</v>
      </c>
      <c r="U67" s="1"/>
      <c r="V67" s="5">
        <f t="shared" si="44"/>
        <v>5.8148055421554318E-3</v>
      </c>
      <c r="W67" s="1"/>
      <c r="X67" s="1">
        <f t="shared" si="45"/>
        <v>1516.1800000000003</v>
      </c>
      <c r="Y67" s="1"/>
      <c r="Z67" s="5">
        <f t="shared" si="46"/>
        <v>0.39805198214754539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7">
        <v>163.80000000000001</v>
      </c>
      <c r="E68" s="2"/>
      <c r="F68" s="6">
        <f t="shared" si="39"/>
        <v>2.8553976428849349E-3</v>
      </c>
      <c r="G68" s="2"/>
      <c r="H68" s="7">
        <v>474.33333333333297</v>
      </c>
      <c r="I68" s="2"/>
      <c r="J68" s="6">
        <f t="shared" si="40"/>
        <v>3.5567619718908298E-3</v>
      </c>
      <c r="K68" s="2"/>
      <c r="L68" s="7">
        <f t="shared" si="41"/>
        <v>-310.53333333333296</v>
      </c>
      <c r="M68" s="2"/>
      <c r="N68" s="6">
        <f t="shared" si="42"/>
        <v>-0.65467322557976082</v>
      </c>
      <c r="O68" s="11"/>
      <c r="P68" s="7">
        <v>5325.18</v>
      </c>
      <c r="Q68" s="2"/>
      <c r="R68" s="6">
        <f t="shared" si="43"/>
        <v>1.3783165445817142E-2</v>
      </c>
      <c r="S68" s="2"/>
      <c r="T68" s="7">
        <v>3809</v>
      </c>
      <c r="U68" s="2"/>
      <c r="V68" s="6">
        <f t="shared" si="44"/>
        <v>5.8148055421554318E-3</v>
      </c>
      <c r="W68" s="2"/>
      <c r="X68" s="7">
        <f t="shared" si="45"/>
        <v>1516.1800000000003</v>
      </c>
      <c r="Y68" s="2"/>
      <c r="Z68" s="6">
        <f t="shared" si="46"/>
        <v>0.39805198214754539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SUM(OSRRefD22_8x_0)</f>
        <v>41.93</v>
      </c>
      <c r="E69" s="1"/>
      <c r="F69" s="5">
        <f t="shared" si="39"/>
        <v>7.3093298636242555E-4</v>
      </c>
      <c r="G69" s="1"/>
      <c r="H69" s="1">
        <f>SUM(OSRRefH22_8x_0)</f>
        <v>0</v>
      </c>
      <c r="I69" s="1"/>
      <c r="J69" s="5">
        <f t="shared" si="40"/>
        <v>0</v>
      </c>
      <c r="K69" s="1"/>
      <c r="L69" s="1">
        <f t="shared" si="41"/>
        <v>41.93</v>
      </c>
      <c r="M69" s="1"/>
      <c r="N69" s="5">
        <f t="shared" si="42"/>
        <v>0</v>
      </c>
      <c r="O69" s="13"/>
      <c r="P69" s="1">
        <f>SUM(OSRRefP22_8x_0)</f>
        <v>244.41</v>
      </c>
      <c r="Q69" s="1"/>
      <c r="R69" s="5">
        <f t="shared" si="43"/>
        <v>6.3260649717233365E-4</v>
      </c>
      <c r="S69" s="1"/>
      <c r="T69" s="1">
        <f>SUM(OSRRefT22_8x_0)</f>
        <v>0</v>
      </c>
      <c r="U69" s="1"/>
      <c r="V69" s="5">
        <f t="shared" si="44"/>
        <v>0</v>
      </c>
      <c r="W69" s="1"/>
      <c r="X69" s="1">
        <f t="shared" si="45"/>
        <v>244.41</v>
      </c>
      <c r="Y69" s="1"/>
      <c r="Z69" s="5">
        <f t="shared" si="46"/>
        <v>0</v>
      </c>
    </row>
    <row r="70" spans="1:26" s="24" customFormat="1" hidden="1" outlineLevel="2" x14ac:dyDescent="0.25">
      <c r="A70" s="26"/>
      <c r="B70" s="11" t="str">
        <f>CONCATENATE("          ", "6305", " - ", "FREIGHT OUT")</f>
        <v xml:space="preserve">          6305 - FREIGHT OUT</v>
      </c>
      <c r="C70" s="11"/>
      <c r="D70" s="7">
        <v>41.93</v>
      </c>
      <c r="E70" s="2"/>
      <c r="F70" s="6">
        <f t="shared" si="39"/>
        <v>7.3093298636242555E-4</v>
      </c>
      <c r="G70" s="2"/>
      <c r="H70" s="7"/>
      <c r="I70" s="2"/>
      <c r="J70" s="6">
        <f t="shared" si="40"/>
        <v>0</v>
      </c>
      <c r="K70" s="2"/>
      <c r="L70" s="7">
        <f t="shared" si="41"/>
        <v>41.93</v>
      </c>
      <c r="M70" s="2"/>
      <c r="N70" s="6">
        <f t="shared" si="42"/>
        <v>0</v>
      </c>
      <c r="O70" s="11"/>
      <c r="P70" s="7">
        <v>249.82</v>
      </c>
      <c r="Q70" s="2"/>
      <c r="R70" s="6">
        <f t="shared" si="43"/>
        <v>6.466092022568323E-4</v>
      </c>
      <c r="S70" s="2"/>
      <c r="T70" s="7"/>
      <c r="U70" s="2"/>
      <c r="V70" s="6">
        <f t="shared" si="44"/>
        <v>0</v>
      </c>
      <c r="W70" s="2"/>
      <c r="X70" s="7">
        <f t="shared" si="45"/>
        <v>249.82</v>
      </c>
      <c r="Y70" s="2"/>
      <c r="Z70" s="6">
        <f t="shared" si="46"/>
        <v>0</v>
      </c>
    </row>
    <row r="71" spans="1:26" s="24" customFormat="1" hidden="1" outlineLevel="2" x14ac:dyDescent="0.25">
      <c r="A71" s="26"/>
      <c r="B71" s="11" t="str">
        <f>CONCATENATE("          ", "6307", " - ", "POSTAGE")</f>
        <v xml:space="preserve">          6307 - POSTAGE</v>
      </c>
      <c r="C71" s="11"/>
      <c r="D71" s="7"/>
      <c r="E71" s="2"/>
      <c r="F71" s="6">
        <f t="shared" si="39"/>
        <v>0</v>
      </c>
      <c r="G71" s="2"/>
      <c r="H71" s="7"/>
      <c r="I71" s="2"/>
      <c r="J71" s="6">
        <f t="shared" si="40"/>
        <v>0</v>
      </c>
      <c r="K71" s="2"/>
      <c r="L71" s="7">
        <f t="shared" si="41"/>
        <v>0</v>
      </c>
      <c r="M71" s="2"/>
      <c r="N71" s="6">
        <f t="shared" si="42"/>
        <v>0</v>
      </c>
      <c r="O71" s="11"/>
      <c r="P71" s="7">
        <v>-5.41</v>
      </c>
      <c r="Q71" s="2"/>
      <c r="R71" s="6">
        <f t="shared" si="43"/>
        <v>-1.400270508449869E-5</v>
      </c>
      <c r="S71" s="2"/>
      <c r="T71" s="7"/>
      <c r="U71" s="2"/>
      <c r="V71" s="6">
        <f t="shared" si="44"/>
        <v>0</v>
      </c>
      <c r="W71" s="2"/>
      <c r="X71" s="7">
        <f t="shared" si="45"/>
        <v>-5.41</v>
      </c>
      <c r="Y71" s="2"/>
      <c r="Z71" s="6">
        <f t="shared" si="46"/>
        <v>0</v>
      </c>
    </row>
    <row r="72" spans="1:26" s="25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1101.3699999999999</v>
      </c>
      <c r="E72" s="1"/>
      <c r="F72" s="5">
        <f t="shared" ref="F72:F84" si="47">IF(D$12=0,0,D72/D$12)</f>
        <v>1.919932418769341E-2</v>
      </c>
      <c r="G72" s="1"/>
      <c r="H72" s="1">
        <f>SUM(OSRRefH22_9x_0)</f>
        <v>0</v>
      </c>
      <c r="I72" s="1"/>
      <c r="J72" s="5">
        <f t="shared" ref="J72:J84" si="48">IF(H$12=0,0,H72/H$12)</f>
        <v>0</v>
      </c>
      <c r="K72" s="1"/>
      <c r="L72" s="1">
        <f t="shared" ref="L72:L84" si="49">+D72-H72</f>
        <v>1101.3699999999999</v>
      </c>
      <c r="M72" s="1"/>
      <c r="N72" s="5">
        <f t="shared" ref="N72:N84" si="50">IF(H72=0,0,L72/H72)</f>
        <v>0</v>
      </c>
      <c r="O72" s="13"/>
      <c r="P72" s="1">
        <f>SUM(OSRRefP22_9x_0)</f>
        <v>10860.34</v>
      </c>
      <c r="Q72" s="1"/>
      <c r="R72" s="5">
        <f t="shared" ref="R72:R84" si="51">IF(P$12=0,0,P72/P$12)</f>
        <v>2.8109822206540576E-2</v>
      </c>
      <c r="S72" s="1"/>
      <c r="T72" s="1">
        <f>SUM(OSRRefT22_9x_0)</f>
        <v>9760</v>
      </c>
      <c r="U72" s="1"/>
      <c r="V72" s="5">
        <f t="shared" ref="V72:V84" si="52">IF(T$12=0,0,T72/T$12)</f>
        <v>1.4899580491319774E-2</v>
      </c>
      <c r="W72" s="1"/>
      <c r="X72" s="1">
        <f t="shared" ref="X72:X84" si="53">+P72-T72</f>
        <v>1100.3400000000001</v>
      </c>
      <c r="Y72" s="1"/>
      <c r="Z72" s="5">
        <f t="shared" ref="Z72:Z84" si="54">IF(T72=0,0,X72/T72)</f>
        <v>0.11273975409836066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7">
        <v>1101.3699999999999</v>
      </c>
      <c r="E73" s="2"/>
      <c r="F73" s="6">
        <f t="shared" si="47"/>
        <v>1.919932418769341E-2</v>
      </c>
      <c r="G73" s="2"/>
      <c r="H73" s="7">
        <v>0</v>
      </c>
      <c r="I73" s="2"/>
      <c r="J73" s="6">
        <f t="shared" si="48"/>
        <v>0</v>
      </c>
      <c r="K73" s="2"/>
      <c r="L73" s="7">
        <f t="shared" si="49"/>
        <v>1101.3699999999999</v>
      </c>
      <c r="M73" s="2"/>
      <c r="N73" s="6">
        <f t="shared" si="50"/>
        <v>0</v>
      </c>
      <c r="O73" s="11"/>
      <c r="P73" s="7">
        <v>10860.34</v>
      </c>
      <c r="Q73" s="2"/>
      <c r="R73" s="6">
        <f t="shared" si="51"/>
        <v>2.8109822206540576E-2</v>
      </c>
      <c r="S73" s="2"/>
      <c r="T73" s="7">
        <v>9760</v>
      </c>
      <c r="U73" s="2"/>
      <c r="V73" s="6">
        <f t="shared" si="52"/>
        <v>1.4899580491319774E-2</v>
      </c>
      <c r="W73" s="2"/>
      <c r="X73" s="7">
        <f t="shared" si="53"/>
        <v>1100.3400000000001</v>
      </c>
      <c r="Y73" s="2"/>
      <c r="Z73" s="6">
        <f t="shared" si="54"/>
        <v>0.11273975409836066</v>
      </c>
    </row>
    <row r="74" spans="1:26" s="25" customFormat="1" outlineLevel="1" collapsed="1" x14ac:dyDescent="0.25">
      <c r="A74" s="27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SUM(OSRRefD22_10x_0)</f>
        <v>4483.67</v>
      </c>
      <c r="E74" s="1"/>
      <c r="F74" s="5">
        <f t="shared" si="47"/>
        <v>7.8160322035860166E-2</v>
      </c>
      <c r="G74" s="1"/>
      <c r="H74" s="1">
        <f>SUM(OSRRefH22_10x_0)</f>
        <v>4835</v>
      </c>
      <c r="I74" s="1"/>
      <c r="J74" s="5">
        <f t="shared" si="48"/>
        <v>3.6254977092253358E-2</v>
      </c>
      <c r="K74" s="1"/>
      <c r="L74" s="1">
        <f t="shared" si="49"/>
        <v>-351.32999999999993</v>
      </c>
      <c r="M74" s="1"/>
      <c r="N74" s="5">
        <f t="shared" si="50"/>
        <v>-7.2663908996897605E-2</v>
      </c>
      <c r="O74" s="13"/>
      <c r="P74" s="1">
        <f>SUM(OSRRefP22_10x_0)</f>
        <v>46465.03</v>
      </c>
      <c r="Q74" s="1"/>
      <c r="R74" s="5">
        <f t="shared" si="51"/>
        <v>0.1202654550521967</v>
      </c>
      <c r="S74" s="1"/>
      <c r="T74" s="1">
        <f>SUM(OSRRefT22_10x_0)</f>
        <v>43515</v>
      </c>
      <c r="U74" s="1"/>
      <c r="V74" s="5">
        <f t="shared" si="52"/>
        <v>6.6429840684403677E-2</v>
      </c>
      <c r="W74" s="1"/>
      <c r="X74" s="1">
        <f t="shared" si="53"/>
        <v>2950.0299999999988</v>
      </c>
      <c r="Y74" s="1"/>
      <c r="Z74" s="5">
        <f t="shared" si="54"/>
        <v>6.7793404573135679E-2</v>
      </c>
    </row>
    <row r="75" spans="1:26" s="24" customFormat="1" hidden="1" outlineLevel="2" x14ac:dyDescent="0.25">
      <c r="A75" s="26"/>
      <c r="B75" s="11" t="str">
        <f>CONCATENATE("          ", "6314", " - ", "LIABILITY INSURANCE")</f>
        <v xml:space="preserve">          6314 - LIABILITY INSURANCE</v>
      </c>
      <c r="C75" s="11"/>
      <c r="D75" s="7">
        <v>4483.67</v>
      </c>
      <c r="E75" s="2"/>
      <c r="F75" s="6">
        <f t="shared" si="47"/>
        <v>7.8160322035860166E-2</v>
      </c>
      <c r="G75" s="2"/>
      <c r="H75" s="7">
        <v>4835</v>
      </c>
      <c r="I75" s="2"/>
      <c r="J75" s="6">
        <f t="shared" si="48"/>
        <v>3.6254977092253358E-2</v>
      </c>
      <c r="K75" s="2"/>
      <c r="L75" s="7">
        <f t="shared" si="49"/>
        <v>-351.32999999999993</v>
      </c>
      <c r="M75" s="2"/>
      <c r="N75" s="6">
        <f t="shared" si="50"/>
        <v>-7.2663908996897605E-2</v>
      </c>
      <c r="O75" s="11"/>
      <c r="P75" s="7">
        <v>46465.03</v>
      </c>
      <c r="Q75" s="2"/>
      <c r="R75" s="6">
        <f t="shared" si="51"/>
        <v>0.1202654550521967</v>
      </c>
      <c r="S75" s="2"/>
      <c r="T75" s="7">
        <v>43515</v>
      </c>
      <c r="U75" s="2"/>
      <c r="V75" s="6">
        <f t="shared" si="52"/>
        <v>6.6429840684403677E-2</v>
      </c>
      <c r="W75" s="2"/>
      <c r="X75" s="7">
        <f t="shared" si="53"/>
        <v>2950.0299999999988</v>
      </c>
      <c r="Y75" s="2"/>
      <c r="Z75" s="6">
        <f t="shared" si="54"/>
        <v>6.7793404573135679E-2</v>
      </c>
    </row>
    <row r="76" spans="1:26" s="25" customFormat="1" outlineLevel="1" collapsed="1" x14ac:dyDescent="0.25">
      <c r="A76" s="27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SUM(OSRRefD22_11x_0)</f>
        <v>11554</v>
      </c>
      <c r="E76" s="1"/>
      <c r="F76" s="5">
        <f t="shared" si="47"/>
        <v>0.20141187036564429</v>
      </c>
      <c r="G76" s="1"/>
      <c r="H76" s="1">
        <f>SUM(OSRRefH22_11x_0)</f>
        <v>11554</v>
      </c>
      <c r="I76" s="1"/>
      <c r="J76" s="5">
        <f t="shared" si="48"/>
        <v>8.6637022817765308E-2</v>
      </c>
      <c r="K76" s="1"/>
      <c r="L76" s="1">
        <f t="shared" si="49"/>
        <v>0</v>
      </c>
      <c r="M76" s="1"/>
      <c r="N76" s="5">
        <f t="shared" si="50"/>
        <v>0</v>
      </c>
      <c r="O76" s="13"/>
      <c r="P76" s="1">
        <f>SUM(OSRRefP22_11x_0)</f>
        <v>103237</v>
      </c>
      <c r="Q76" s="1"/>
      <c r="R76" s="5">
        <f t="shared" si="51"/>
        <v>0.26720836687770633</v>
      </c>
      <c r="S76" s="1"/>
      <c r="T76" s="1">
        <f>SUM(OSRRefT22_11x_0)</f>
        <v>103986</v>
      </c>
      <c r="U76" s="1"/>
      <c r="V76" s="5">
        <f t="shared" si="52"/>
        <v>0.15874464927975185</v>
      </c>
      <c r="W76" s="1"/>
      <c r="X76" s="1">
        <f t="shared" si="53"/>
        <v>-749</v>
      </c>
      <c r="Y76" s="1"/>
      <c r="Z76" s="5">
        <f t="shared" si="54"/>
        <v>-7.2028926970938399E-3</v>
      </c>
    </row>
    <row r="77" spans="1:26" s="24" customFormat="1" hidden="1" outlineLevel="2" x14ac:dyDescent="0.25">
      <c r="A77" s="26"/>
      <c r="B77" s="11" t="str">
        <f>CONCATENATE("          ", "6401", " - ", "INTEREST EXPENSE")</f>
        <v xml:space="preserve">          6401 - INTEREST EXPENSE</v>
      </c>
      <c r="C77" s="11"/>
      <c r="D77" s="7">
        <v>11554</v>
      </c>
      <c r="E77" s="2"/>
      <c r="F77" s="6">
        <f t="shared" si="47"/>
        <v>0.20141187036564429</v>
      </c>
      <c r="G77" s="2"/>
      <c r="H77" s="7">
        <v>11554</v>
      </c>
      <c r="I77" s="2"/>
      <c r="J77" s="6">
        <f t="shared" si="48"/>
        <v>8.6637022817765308E-2</v>
      </c>
      <c r="K77" s="2"/>
      <c r="L77" s="7">
        <f t="shared" si="49"/>
        <v>0</v>
      </c>
      <c r="M77" s="2"/>
      <c r="N77" s="6">
        <f t="shared" si="50"/>
        <v>0</v>
      </c>
      <c r="O77" s="11"/>
      <c r="P77" s="7">
        <v>103237</v>
      </c>
      <c r="Q77" s="2"/>
      <c r="R77" s="6">
        <f t="shared" si="51"/>
        <v>0.26720836687770633</v>
      </c>
      <c r="S77" s="2"/>
      <c r="T77" s="7">
        <v>103986</v>
      </c>
      <c r="U77" s="2"/>
      <c r="V77" s="6">
        <f t="shared" si="52"/>
        <v>0.15874464927975185</v>
      </c>
      <c r="W77" s="2"/>
      <c r="X77" s="7">
        <f t="shared" si="53"/>
        <v>-749</v>
      </c>
      <c r="Y77" s="2"/>
      <c r="Z77" s="6">
        <f t="shared" si="54"/>
        <v>-7.2028926970938399E-3</v>
      </c>
    </row>
    <row r="78" spans="1:26" s="25" customFormat="1" outlineLevel="1" collapsed="1" x14ac:dyDescent="0.25">
      <c r="A78" s="27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SUM(OSRRefD22_12x_0)</f>
        <v>0</v>
      </c>
      <c r="E78" s="1"/>
      <c r="F78" s="5">
        <f t="shared" si="47"/>
        <v>0</v>
      </c>
      <c r="G78" s="1"/>
      <c r="H78" s="1">
        <f>SUM(OSRRefH22_12x_0)</f>
        <v>1943</v>
      </c>
      <c r="I78" s="1"/>
      <c r="J78" s="5">
        <f t="shared" si="48"/>
        <v>1.4569476833557037E-2</v>
      </c>
      <c r="K78" s="1"/>
      <c r="L78" s="1">
        <f t="shared" si="49"/>
        <v>-1943</v>
      </c>
      <c r="M78" s="1"/>
      <c r="N78" s="5">
        <f t="shared" si="50"/>
        <v>-1</v>
      </c>
      <c r="O78" s="13"/>
      <c r="P78" s="1">
        <f>SUM(OSRRefP22_12x_0)</f>
        <v>11100</v>
      </c>
      <c r="Q78" s="1"/>
      <c r="R78" s="5">
        <f t="shared" si="51"/>
        <v>2.8730134276882709E-2</v>
      </c>
      <c r="S78" s="1"/>
      <c r="T78" s="1">
        <f>SUM(OSRRefT22_12x_0)</f>
        <v>17487</v>
      </c>
      <c r="U78" s="1"/>
      <c r="V78" s="5">
        <f t="shared" si="52"/>
        <v>2.6695590579068531E-2</v>
      </c>
      <c r="W78" s="1"/>
      <c r="X78" s="1">
        <f t="shared" si="53"/>
        <v>-6387</v>
      </c>
      <c r="Y78" s="1"/>
      <c r="Z78" s="5">
        <f t="shared" si="54"/>
        <v>-0.36524275175844911</v>
      </c>
    </row>
    <row r="79" spans="1:26" s="24" customFormat="1" hidden="1" outlineLevel="2" x14ac:dyDescent="0.25">
      <c r="A79" s="26"/>
      <c r="B79" s="11" t="str">
        <f>CONCATENATE("          ", "6273", " - ", "RENT")</f>
        <v xml:space="preserve">          6273 - RENT</v>
      </c>
      <c r="C79" s="11"/>
      <c r="D79" s="7"/>
      <c r="E79" s="2"/>
      <c r="F79" s="6">
        <f t="shared" si="47"/>
        <v>0</v>
      </c>
      <c r="G79" s="2"/>
      <c r="H79" s="7">
        <v>1943</v>
      </c>
      <c r="I79" s="2"/>
      <c r="J79" s="6">
        <f t="shared" si="48"/>
        <v>1.4569476833557037E-2</v>
      </c>
      <c r="K79" s="2"/>
      <c r="L79" s="7">
        <f t="shared" si="49"/>
        <v>-1943</v>
      </c>
      <c r="M79" s="2"/>
      <c r="N79" s="6">
        <f t="shared" si="50"/>
        <v>-1</v>
      </c>
      <c r="O79" s="11"/>
      <c r="P79" s="7">
        <v>11100</v>
      </c>
      <c r="Q79" s="2"/>
      <c r="R79" s="6">
        <f t="shared" si="51"/>
        <v>2.8730134276882709E-2</v>
      </c>
      <c r="S79" s="2"/>
      <c r="T79" s="7">
        <v>17487</v>
      </c>
      <c r="U79" s="2"/>
      <c r="V79" s="6">
        <f t="shared" si="52"/>
        <v>2.6695590579068531E-2</v>
      </c>
      <c r="W79" s="2"/>
      <c r="X79" s="7">
        <f t="shared" si="53"/>
        <v>-6387</v>
      </c>
      <c r="Y79" s="2"/>
      <c r="Z79" s="6">
        <f t="shared" si="54"/>
        <v>-0.36524275175844911</v>
      </c>
    </row>
    <row r="80" spans="1:26" s="25" customFormat="1" outlineLevel="1" collapsed="1" x14ac:dyDescent="0.25">
      <c r="A80" s="27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SUM(OSRRefD22_13x_0)</f>
        <v>17476.16</v>
      </c>
      <c r="E80" s="1"/>
      <c r="F80" s="5">
        <f t="shared" si="47"/>
        <v>0.3046482666097679</v>
      </c>
      <c r="G80" s="1"/>
      <c r="H80" s="1">
        <f>SUM(OSRRefH22_13x_0)</f>
        <v>1535</v>
      </c>
      <c r="I80" s="1"/>
      <c r="J80" s="5">
        <f t="shared" si="48"/>
        <v>1.1510111651832244E-2</v>
      </c>
      <c r="K80" s="1"/>
      <c r="L80" s="1">
        <f t="shared" si="49"/>
        <v>15941.16</v>
      </c>
      <c r="M80" s="1"/>
      <c r="N80" s="5">
        <f t="shared" si="50"/>
        <v>10.385120521172638</v>
      </c>
      <c r="O80" s="13"/>
      <c r="P80" s="1">
        <f>SUM(OSRRefP22_13x_0)</f>
        <v>44680.33</v>
      </c>
      <c r="Q80" s="1"/>
      <c r="R80" s="5">
        <f t="shared" si="51"/>
        <v>0.11564611535454332</v>
      </c>
      <c r="S80" s="1"/>
      <c r="T80" s="1">
        <f>SUM(OSRRefT22_13x_0)</f>
        <v>25570</v>
      </c>
      <c r="U80" s="1"/>
      <c r="V80" s="5">
        <f t="shared" si="52"/>
        <v>3.9035068971623628E-2</v>
      </c>
      <c r="W80" s="1"/>
      <c r="X80" s="1">
        <f t="shared" si="53"/>
        <v>19110.330000000002</v>
      </c>
      <c r="Y80" s="1"/>
      <c r="Z80" s="5">
        <f t="shared" si="54"/>
        <v>0.7473730934689089</v>
      </c>
    </row>
    <row r="81" spans="1:26" s="24" customFormat="1" hidden="1" outlineLevel="2" x14ac:dyDescent="0.25">
      <c r="A81" s="26"/>
      <c r="B81" s="11" t="str">
        <f>CONCATENATE("          ", "6371", " - ", "COMPUTER SOFTWARE MAINTENANCE")</f>
        <v xml:space="preserve">          6371 - COMPUTER SOFTWARE MAINTENANCE</v>
      </c>
      <c r="C81" s="11"/>
      <c r="D81" s="7"/>
      <c r="E81" s="2"/>
      <c r="F81" s="6">
        <f t="shared" si="47"/>
        <v>0</v>
      </c>
      <c r="G81" s="2"/>
      <c r="H81" s="7"/>
      <c r="I81" s="2"/>
      <c r="J81" s="6">
        <f t="shared" si="48"/>
        <v>0</v>
      </c>
      <c r="K81" s="2"/>
      <c r="L81" s="7">
        <f t="shared" si="49"/>
        <v>0</v>
      </c>
      <c r="M81" s="2"/>
      <c r="N81" s="6">
        <f t="shared" si="50"/>
        <v>0</v>
      </c>
      <c r="O81" s="11"/>
      <c r="P81" s="7">
        <v>702.27</v>
      </c>
      <c r="Q81" s="2"/>
      <c r="R81" s="6">
        <f t="shared" si="51"/>
        <v>1.8176857115879657E-3</v>
      </c>
      <c r="S81" s="2"/>
      <c r="T81" s="7">
        <v>43</v>
      </c>
      <c r="U81" s="2"/>
      <c r="V81" s="6">
        <f t="shared" si="52"/>
        <v>6.5643643558068674E-5</v>
      </c>
      <c r="W81" s="2"/>
      <c r="X81" s="7">
        <f t="shared" si="53"/>
        <v>659.27</v>
      </c>
      <c r="Y81" s="2"/>
      <c r="Z81" s="6">
        <f t="shared" si="54"/>
        <v>15.331860465116279</v>
      </c>
    </row>
    <row r="82" spans="1:26" s="24" customFormat="1" hidden="1" outlineLevel="2" x14ac:dyDescent="0.25">
      <c r="A82" s="26"/>
      <c r="B82" s="11" t="str">
        <f>CONCATENATE("          ", "6372", " - ", "COMPUTER HARDWARE MAINTENANCE")</f>
        <v xml:space="preserve">          6372 - COMPUTER HARDWARE MAINTENANCE</v>
      </c>
      <c r="C82" s="11"/>
      <c r="D82" s="7">
        <v>100</v>
      </c>
      <c r="E82" s="2"/>
      <c r="F82" s="6">
        <f t="shared" si="47"/>
        <v>1.7432220042032569E-3</v>
      </c>
      <c r="G82" s="2"/>
      <c r="H82" s="7"/>
      <c r="I82" s="2"/>
      <c r="J82" s="6">
        <f t="shared" si="48"/>
        <v>0</v>
      </c>
      <c r="K82" s="2"/>
      <c r="L82" s="7">
        <f t="shared" si="49"/>
        <v>100</v>
      </c>
      <c r="M82" s="2"/>
      <c r="N82" s="6">
        <f t="shared" si="50"/>
        <v>0</v>
      </c>
      <c r="O82" s="11"/>
      <c r="P82" s="7">
        <v>100</v>
      </c>
      <c r="Q82" s="2"/>
      <c r="R82" s="6">
        <f t="shared" si="51"/>
        <v>2.5883003853047486E-4</v>
      </c>
      <c r="S82" s="2"/>
      <c r="T82" s="7">
        <v>437</v>
      </c>
      <c r="U82" s="2"/>
      <c r="V82" s="6">
        <f t="shared" si="52"/>
        <v>6.671226101133956E-4</v>
      </c>
      <c r="W82" s="2"/>
      <c r="X82" s="7">
        <f t="shared" si="53"/>
        <v>-337</v>
      </c>
      <c r="Y82" s="2"/>
      <c r="Z82" s="6">
        <f t="shared" si="54"/>
        <v>-0.77116704805491987</v>
      </c>
    </row>
    <row r="83" spans="1:26" s="24" customFormat="1" hidden="1" outlineLevel="2" x14ac:dyDescent="0.25">
      <c r="A83" s="26"/>
      <c r="B83" s="11" t="str">
        <f>CONCATENATE("          ", "6373", " - ", "MAINTENANCE CONTRACTS")</f>
        <v xml:space="preserve">          6373 - MAINTENANCE CONTRACTS</v>
      </c>
      <c r="C83" s="11"/>
      <c r="D83" s="7">
        <v>7503.81</v>
      </c>
      <c r="E83" s="2"/>
      <c r="F83" s="6">
        <f t="shared" si="47"/>
        <v>0.13080806707360443</v>
      </c>
      <c r="G83" s="2"/>
      <c r="H83" s="7">
        <v>0</v>
      </c>
      <c r="I83" s="2"/>
      <c r="J83" s="6">
        <f t="shared" si="48"/>
        <v>0</v>
      </c>
      <c r="K83" s="2"/>
      <c r="L83" s="7">
        <f t="shared" si="49"/>
        <v>7503.81</v>
      </c>
      <c r="M83" s="2"/>
      <c r="N83" s="6">
        <f t="shared" si="50"/>
        <v>0</v>
      </c>
      <c r="O83" s="11"/>
      <c r="P83" s="7">
        <v>19481.849999999999</v>
      </c>
      <c r="Q83" s="2"/>
      <c r="R83" s="6">
        <f t="shared" si="51"/>
        <v>5.0424879861449314E-2</v>
      </c>
      <c r="S83" s="2"/>
      <c r="T83" s="7">
        <v>4000</v>
      </c>
      <c r="U83" s="2"/>
      <c r="V83" s="6">
        <f t="shared" si="52"/>
        <v>6.1063854472622019E-3</v>
      </c>
      <c r="W83" s="2"/>
      <c r="X83" s="7">
        <f t="shared" si="53"/>
        <v>15481.849999999999</v>
      </c>
      <c r="Y83" s="2"/>
      <c r="Z83" s="6">
        <f t="shared" si="54"/>
        <v>3.8704624999999995</v>
      </c>
    </row>
    <row r="84" spans="1:26" s="24" customFormat="1" hidden="1" outlineLevel="2" x14ac:dyDescent="0.25">
      <c r="A84" s="26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9872.35</v>
      </c>
      <c r="E84" s="2"/>
      <c r="F84" s="6">
        <f t="shared" si="47"/>
        <v>0.17209697753196024</v>
      </c>
      <c r="G84" s="2"/>
      <c r="H84" s="7">
        <v>1535</v>
      </c>
      <c r="I84" s="2"/>
      <c r="J84" s="6">
        <f t="shared" si="48"/>
        <v>1.1510111651832244E-2</v>
      </c>
      <c r="K84" s="2"/>
      <c r="L84" s="7">
        <f t="shared" si="49"/>
        <v>8337.35</v>
      </c>
      <c r="M84" s="2"/>
      <c r="N84" s="6">
        <f t="shared" si="50"/>
        <v>5.4314983713355049</v>
      </c>
      <c r="O84" s="11"/>
      <c r="P84" s="7">
        <v>24396.21</v>
      </c>
      <c r="Q84" s="2"/>
      <c r="R84" s="6">
        <f t="shared" si="51"/>
        <v>6.3144719742975558E-2</v>
      </c>
      <c r="S84" s="2"/>
      <c r="T84" s="7">
        <v>21090</v>
      </c>
      <c r="U84" s="2"/>
      <c r="V84" s="6">
        <f t="shared" si="52"/>
        <v>3.2195917270689961E-2</v>
      </c>
      <c r="W84" s="2"/>
      <c r="X84" s="7">
        <f t="shared" si="53"/>
        <v>3306.2099999999991</v>
      </c>
      <c r="Y84" s="2"/>
      <c r="Z84" s="6">
        <f t="shared" si="54"/>
        <v>0.15676671408250351</v>
      </c>
    </row>
    <row r="85" spans="1:26" s="25" customFormat="1" outlineLevel="1" collapsed="1" x14ac:dyDescent="0.25">
      <c r="A85" s="27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SUM(OSRRefD22_14x_0)</f>
        <v>0</v>
      </c>
      <c r="E85" s="1"/>
      <c r="F85" s="5">
        <f t="shared" ref="F85:F87" si="55">IF(D$12=0,0,D85/D$12)</f>
        <v>0</v>
      </c>
      <c r="G85" s="1"/>
      <c r="H85" s="1">
        <f>SUM(OSRRefH22_14x_0)</f>
        <v>1779</v>
      </c>
      <c r="I85" s="1"/>
      <c r="J85" s="5">
        <f t="shared" ref="J85:J87" si="56">IF(H$12=0,0,H85/H$12)</f>
        <v>1.3339732005608836E-2</v>
      </c>
      <c r="K85" s="1"/>
      <c r="L85" s="1">
        <f t="shared" ref="L85:L87" si="57">+D85-H85</f>
        <v>-1779</v>
      </c>
      <c r="M85" s="1"/>
      <c r="N85" s="5">
        <f t="shared" ref="N85:N87" si="58">IF(H85=0,0,L85/H85)</f>
        <v>-1</v>
      </c>
      <c r="O85" s="13"/>
      <c r="P85" s="1">
        <f>SUM(OSRRefP22_14x_0)</f>
        <v>185.7</v>
      </c>
      <c r="Q85" s="1"/>
      <c r="R85" s="5">
        <f t="shared" ref="R85:R87" si="59">IF(P$12=0,0,P85/P$12)</f>
        <v>4.8064738155109178E-4</v>
      </c>
      <c r="S85" s="1"/>
      <c r="T85" s="1">
        <f>SUM(OSRRefT22_14x_0)</f>
        <v>8002</v>
      </c>
      <c r="U85" s="1"/>
      <c r="V85" s="5">
        <f t="shared" ref="V85:V87" si="60">IF(T$12=0,0,T85/T$12)</f>
        <v>1.2215824087248035E-2</v>
      </c>
      <c r="W85" s="1"/>
      <c r="X85" s="1">
        <f t="shared" ref="X85:X87" si="61">+P85-T85</f>
        <v>-7816.3</v>
      </c>
      <c r="Y85" s="1"/>
      <c r="Z85" s="5">
        <f t="shared" ref="Z85:Z87" si="62">IF(T85=0,0,X85/T85)</f>
        <v>-0.97679330167458134</v>
      </c>
    </row>
    <row r="86" spans="1:26" s="24" customFormat="1" hidden="1" outlineLevel="2" x14ac:dyDescent="0.25">
      <c r="A86" s="26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55"/>
        <v>0</v>
      </c>
      <c r="G86" s="2"/>
      <c r="H86" s="7">
        <v>0</v>
      </c>
      <c r="I86" s="2"/>
      <c r="J86" s="6">
        <f t="shared" si="56"/>
        <v>0</v>
      </c>
      <c r="K86" s="2"/>
      <c r="L86" s="7">
        <f t="shared" si="57"/>
        <v>0</v>
      </c>
      <c r="M86" s="2"/>
      <c r="N86" s="6">
        <f t="shared" si="58"/>
        <v>0</v>
      </c>
      <c r="O86" s="11"/>
      <c r="P86" s="7">
        <v>185.7</v>
      </c>
      <c r="Q86" s="2"/>
      <c r="R86" s="6">
        <f t="shared" si="59"/>
        <v>4.8064738155109178E-4</v>
      </c>
      <c r="S86" s="2"/>
      <c r="T86" s="7">
        <v>0</v>
      </c>
      <c r="U86" s="2"/>
      <c r="V86" s="6">
        <f t="shared" si="60"/>
        <v>0</v>
      </c>
      <c r="W86" s="2"/>
      <c r="X86" s="7">
        <f t="shared" si="61"/>
        <v>185.7</v>
      </c>
      <c r="Y86" s="2"/>
      <c r="Z86" s="6">
        <f t="shared" si="62"/>
        <v>0</v>
      </c>
    </row>
    <row r="87" spans="1:26" s="24" customFormat="1" hidden="1" outlineLevel="2" x14ac:dyDescent="0.25">
      <c r="A87" s="26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55"/>
        <v>0</v>
      </c>
      <c r="G87" s="2"/>
      <c r="H87" s="7">
        <v>1779</v>
      </c>
      <c r="I87" s="2"/>
      <c r="J87" s="6">
        <f t="shared" si="56"/>
        <v>1.3339732005608836E-2</v>
      </c>
      <c r="K87" s="2"/>
      <c r="L87" s="7">
        <f t="shared" si="57"/>
        <v>-1779</v>
      </c>
      <c r="M87" s="2"/>
      <c r="N87" s="6">
        <f t="shared" si="58"/>
        <v>-1</v>
      </c>
      <c r="O87" s="11"/>
      <c r="P87" s="7"/>
      <c r="Q87" s="2"/>
      <c r="R87" s="6">
        <f t="shared" si="59"/>
        <v>0</v>
      </c>
      <c r="S87" s="2"/>
      <c r="T87" s="7">
        <v>8002</v>
      </c>
      <c r="U87" s="2"/>
      <c r="V87" s="6">
        <f t="shared" si="60"/>
        <v>1.2215824087248035E-2</v>
      </c>
      <c r="W87" s="2"/>
      <c r="X87" s="7">
        <f t="shared" si="61"/>
        <v>-8002</v>
      </c>
      <c r="Y87" s="2"/>
      <c r="Z87" s="6">
        <f t="shared" si="62"/>
        <v>-1</v>
      </c>
    </row>
    <row r="88" spans="1:26" s="25" customFormat="1" outlineLevel="1" collapsed="1" x14ac:dyDescent="0.25">
      <c r="A88" s="27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SUM(OSRRefD22_15x_0)</f>
        <v>-5528.9699999999993</v>
      </c>
      <c r="E88" s="1"/>
      <c r="F88" s="5">
        <f t="shared" ref="F88:F93" si="63">IF(D$12=0,0,D88/D$12)</f>
        <v>-9.6382221645796795E-2</v>
      </c>
      <c r="G88" s="1"/>
      <c r="H88" s="1">
        <f>SUM(OSRRefH22_15x_0)</f>
        <v>8428</v>
      </c>
      <c r="I88" s="1"/>
      <c r="J88" s="5">
        <f t="shared" ref="J88:J93" si="64">IF(H$12=0,0,H88/H$12)</f>
        <v>6.3196886646020953E-2</v>
      </c>
      <c r="K88" s="1"/>
      <c r="L88" s="1">
        <f t="shared" ref="L88:L93" si="65">+D88-H88</f>
        <v>-13956.97</v>
      </c>
      <c r="M88" s="1"/>
      <c r="N88" s="5">
        <f t="shared" ref="N88:N93" si="66">IF(H88=0,0,L88/H88)</f>
        <v>-1.6560239677266255</v>
      </c>
      <c r="O88" s="13"/>
      <c r="P88" s="1">
        <f>SUM(OSRRefP22_15x_0)</f>
        <v>46422.07</v>
      </c>
      <c r="Q88" s="1"/>
      <c r="R88" s="5">
        <f t="shared" ref="R88:R93" si="67">IF(P$12=0,0,P88/P$12)</f>
        <v>0.12015426166764401</v>
      </c>
      <c r="S88" s="1"/>
      <c r="T88" s="1">
        <f>SUM(OSRRefT22_15x_0)</f>
        <v>74600</v>
      </c>
      <c r="U88" s="1"/>
      <c r="V88" s="5">
        <f t="shared" ref="V88:V93" si="68">IF(T$12=0,0,T88/T$12)</f>
        <v>0.11388408859144007</v>
      </c>
      <c r="W88" s="1"/>
      <c r="X88" s="1">
        <f t="shared" ref="X88:X93" si="69">+P88-T88</f>
        <v>-28177.93</v>
      </c>
      <c r="Y88" s="1"/>
      <c r="Z88" s="5">
        <f t="shared" ref="Z88:Z93" si="70">IF(T88=0,0,X88/T88)</f>
        <v>-0.37772024128686327</v>
      </c>
    </row>
    <row r="89" spans="1:26" s="24" customFormat="1" hidden="1" outlineLevel="2" x14ac:dyDescent="0.25">
      <c r="A89" s="26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2022.27</v>
      </c>
      <c r="E89" s="2"/>
      <c r="F89" s="6">
        <f t="shared" si="63"/>
        <v>3.5252655624401205E-2</v>
      </c>
      <c r="G89" s="2"/>
      <c r="H89" s="7">
        <v>1283</v>
      </c>
      <c r="I89" s="2"/>
      <c r="J89" s="6">
        <f t="shared" si="64"/>
        <v>9.6205037454728144E-3</v>
      </c>
      <c r="K89" s="2"/>
      <c r="L89" s="7">
        <f t="shared" si="65"/>
        <v>739.27</v>
      </c>
      <c r="M89" s="2"/>
      <c r="N89" s="6">
        <f t="shared" si="66"/>
        <v>0.57620420888542478</v>
      </c>
      <c r="O89" s="11"/>
      <c r="P89" s="7">
        <v>10340.39</v>
      </c>
      <c r="Q89" s="2"/>
      <c r="R89" s="6">
        <f t="shared" si="67"/>
        <v>2.6764035421201367E-2</v>
      </c>
      <c r="S89" s="2"/>
      <c r="T89" s="7">
        <v>10965</v>
      </c>
      <c r="U89" s="2"/>
      <c r="V89" s="6">
        <f t="shared" si="68"/>
        <v>1.6739129107307512E-2</v>
      </c>
      <c r="W89" s="2"/>
      <c r="X89" s="7">
        <f t="shared" si="69"/>
        <v>-624.61000000000058</v>
      </c>
      <c r="Y89" s="2"/>
      <c r="Z89" s="6">
        <f t="shared" si="70"/>
        <v>-5.6963976288189749E-2</v>
      </c>
    </row>
    <row r="90" spans="1:26" s="24" customFormat="1" hidden="1" outlineLevel="2" x14ac:dyDescent="0.25">
      <c r="A90" s="26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63"/>
        <v>0</v>
      </c>
      <c r="G90" s="2"/>
      <c r="H90" s="7">
        <v>0</v>
      </c>
      <c r="I90" s="2"/>
      <c r="J90" s="6">
        <f t="shared" si="64"/>
        <v>0</v>
      </c>
      <c r="K90" s="2"/>
      <c r="L90" s="7">
        <f t="shared" si="65"/>
        <v>0</v>
      </c>
      <c r="M90" s="2"/>
      <c r="N90" s="6">
        <f t="shared" si="66"/>
        <v>0</v>
      </c>
      <c r="O90" s="11"/>
      <c r="P90" s="7"/>
      <c r="Q90" s="2"/>
      <c r="R90" s="6">
        <f t="shared" si="67"/>
        <v>0</v>
      </c>
      <c r="S90" s="2"/>
      <c r="T90" s="7">
        <v>310</v>
      </c>
      <c r="U90" s="2"/>
      <c r="V90" s="6">
        <f t="shared" si="68"/>
        <v>4.7324487216282064E-4</v>
      </c>
      <c r="W90" s="2"/>
      <c r="X90" s="7">
        <f t="shared" si="69"/>
        <v>-310</v>
      </c>
      <c r="Y90" s="2"/>
      <c r="Z90" s="6">
        <f t="shared" si="70"/>
        <v>-1</v>
      </c>
    </row>
    <row r="91" spans="1:26" s="24" customFormat="1" hidden="1" outlineLevel="2" x14ac:dyDescent="0.25">
      <c r="A91" s="26"/>
      <c r="B91" s="11" t="str">
        <f>CONCATENATE("          ", "6284", " - ", "TRASH REMOVAL EXPENSE")</f>
        <v xml:space="preserve">          6284 - TRASH REMOVAL EXPENSE</v>
      </c>
      <c r="C91" s="11"/>
      <c r="D91" s="7">
        <v>-9244</v>
      </c>
      <c r="E91" s="2"/>
      <c r="F91" s="6">
        <f t="shared" si="63"/>
        <v>-0.16114344206854905</v>
      </c>
      <c r="G91" s="2"/>
      <c r="H91" s="7">
        <v>3550</v>
      </c>
      <c r="I91" s="2"/>
      <c r="J91" s="6">
        <f t="shared" si="64"/>
        <v>2.6619476458634835E-2</v>
      </c>
      <c r="K91" s="2"/>
      <c r="L91" s="7">
        <f t="shared" si="65"/>
        <v>-12794</v>
      </c>
      <c r="M91" s="2"/>
      <c r="N91" s="6">
        <f t="shared" si="66"/>
        <v>-3.6039436619718308</v>
      </c>
      <c r="O91" s="11"/>
      <c r="P91" s="7">
        <v>21518</v>
      </c>
      <c r="Q91" s="2"/>
      <c r="R91" s="6">
        <f t="shared" si="67"/>
        <v>5.5695047690987584E-2</v>
      </c>
      <c r="S91" s="2"/>
      <c r="T91" s="7">
        <v>29741</v>
      </c>
      <c r="U91" s="2"/>
      <c r="V91" s="6">
        <f t="shared" si="68"/>
        <v>4.5402502396756285E-2</v>
      </c>
      <c r="W91" s="2"/>
      <c r="X91" s="7">
        <f t="shared" si="69"/>
        <v>-8223</v>
      </c>
      <c r="Y91" s="2"/>
      <c r="Z91" s="6">
        <f t="shared" si="70"/>
        <v>-0.27648700447194108</v>
      </c>
    </row>
    <row r="92" spans="1:26" s="24" customFormat="1" hidden="1" outlineLevel="2" x14ac:dyDescent="0.25">
      <c r="A92" s="26"/>
      <c r="B92" s="11" t="str">
        <f>CONCATENATE("          ", "6285", " - ", "JANITORIAL SERVICES")</f>
        <v xml:space="preserve">          6285 - JANITORIAL SERVICES</v>
      </c>
      <c r="C92" s="11"/>
      <c r="D92" s="7">
        <v>1692.76</v>
      </c>
      <c r="E92" s="2"/>
      <c r="F92" s="6">
        <f t="shared" si="63"/>
        <v>2.9508564798351049E-2</v>
      </c>
      <c r="G92" s="2"/>
      <c r="H92" s="7">
        <v>3491</v>
      </c>
      <c r="I92" s="2"/>
      <c r="J92" s="6">
        <f t="shared" si="64"/>
        <v>2.6177068258336395E-2</v>
      </c>
      <c r="K92" s="2"/>
      <c r="L92" s="7">
        <f t="shared" si="65"/>
        <v>-1798.24</v>
      </c>
      <c r="M92" s="2"/>
      <c r="N92" s="6">
        <f t="shared" si="66"/>
        <v>-0.51510741907762814</v>
      </c>
      <c r="O92" s="11"/>
      <c r="P92" s="7">
        <v>13658.97</v>
      </c>
      <c r="Q92" s="2"/>
      <c r="R92" s="6">
        <f t="shared" si="67"/>
        <v>3.5353517313866004E-2</v>
      </c>
      <c r="S92" s="2"/>
      <c r="T92" s="7">
        <v>32655</v>
      </c>
      <c r="U92" s="2"/>
      <c r="V92" s="6">
        <f t="shared" si="68"/>
        <v>4.9851004195086805E-2</v>
      </c>
      <c r="W92" s="2"/>
      <c r="X92" s="7">
        <f t="shared" si="69"/>
        <v>-18996.03</v>
      </c>
      <c r="Y92" s="2"/>
      <c r="Z92" s="6">
        <f t="shared" si="70"/>
        <v>-0.58171887919154797</v>
      </c>
    </row>
    <row r="93" spans="1:26" s="24" customFormat="1" hidden="1" outlineLevel="2" x14ac:dyDescent="0.25">
      <c r="A93" s="26"/>
      <c r="B93" s="11" t="str">
        <f>CONCATENATE("          ", "6286", " - ", "LAUNDRY EXPENSE")</f>
        <v xml:space="preserve">          6286 - LAUNDRY EXPENSE</v>
      </c>
      <c r="C93" s="11"/>
      <c r="D93" s="7"/>
      <c r="E93" s="2"/>
      <c r="F93" s="6">
        <f t="shared" si="63"/>
        <v>0</v>
      </c>
      <c r="G93" s="2"/>
      <c r="H93" s="7">
        <v>104</v>
      </c>
      <c r="I93" s="2"/>
      <c r="J93" s="6">
        <f t="shared" si="64"/>
        <v>7.7983818357690784E-4</v>
      </c>
      <c r="K93" s="2"/>
      <c r="L93" s="7">
        <f t="shared" si="65"/>
        <v>-104</v>
      </c>
      <c r="M93" s="2"/>
      <c r="N93" s="6">
        <f t="shared" si="66"/>
        <v>-1</v>
      </c>
      <c r="O93" s="11"/>
      <c r="P93" s="7">
        <v>904.71</v>
      </c>
      <c r="Q93" s="2"/>
      <c r="R93" s="6">
        <f t="shared" si="67"/>
        <v>2.3416612415890592E-3</v>
      </c>
      <c r="S93" s="2"/>
      <c r="T93" s="7">
        <v>929</v>
      </c>
      <c r="U93" s="2"/>
      <c r="V93" s="6">
        <f t="shared" si="68"/>
        <v>1.4182080201266465E-3</v>
      </c>
      <c r="W93" s="2"/>
      <c r="X93" s="7">
        <f t="shared" si="69"/>
        <v>-24.289999999999964</v>
      </c>
      <c r="Y93" s="2"/>
      <c r="Z93" s="6">
        <f t="shared" si="70"/>
        <v>-2.6146393972012877E-2</v>
      </c>
    </row>
    <row r="94" spans="1:26" s="25" customFormat="1" outlineLevel="1" collapsed="1" x14ac:dyDescent="0.25">
      <c r="A94" s="27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SUM(OSRRefD22_16x_0)</f>
        <v>119.07</v>
      </c>
      <c r="E94" s="1"/>
      <c r="F94" s="5">
        <f t="shared" ref="F94:F96" si="71">IF(D$12=0,0,D94/D$12)</f>
        <v>2.0756544404048178E-3</v>
      </c>
      <c r="G94" s="1"/>
      <c r="H94" s="1">
        <f>SUM(OSRRefH22_16x_0)</f>
        <v>376</v>
      </c>
      <c r="I94" s="1"/>
      <c r="J94" s="5">
        <f t="shared" ref="J94:J96" si="72">IF(H$12=0,0,H94/H$12)</f>
        <v>2.8194149713934359E-3</v>
      </c>
      <c r="K94" s="1"/>
      <c r="L94" s="1">
        <f t="shared" ref="L94:L96" si="73">+D94-H94</f>
        <v>-256.93</v>
      </c>
      <c r="M94" s="1"/>
      <c r="N94" s="5">
        <f t="shared" ref="N94:N96" si="74">IF(H94=0,0,L94/H94)</f>
        <v>-0.68332446808510638</v>
      </c>
      <c r="O94" s="13"/>
      <c r="P94" s="1">
        <f>SUM(OSRRefP22_16x_0)</f>
        <v>916.08</v>
      </c>
      <c r="Q94" s="1"/>
      <c r="R94" s="5">
        <f t="shared" ref="R94:R96" si="75">IF(P$12=0,0,P94/P$12)</f>
        <v>2.3710902169699743E-3</v>
      </c>
      <c r="S94" s="1"/>
      <c r="T94" s="1">
        <f>SUM(OSRRefT22_16x_0)</f>
        <v>4265</v>
      </c>
      <c r="U94" s="1"/>
      <c r="V94" s="5">
        <f t="shared" ref="V94:V96" si="76">IF(T$12=0,0,T94/T$12)</f>
        <v>6.5109334831433231E-3</v>
      </c>
      <c r="W94" s="1"/>
      <c r="X94" s="1">
        <f t="shared" ref="X94:X96" si="77">+P94-T94</f>
        <v>-3348.92</v>
      </c>
      <c r="Y94" s="1"/>
      <c r="Z94" s="5">
        <f t="shared" ref="Z94:Z96" si="78">IF(T94=0,0,X94/T94)</f>
        <v>-0.78520984759671753</v>
      </c>
    </row>
    <row r="95" spans="1:26" s="24" customFormat="1" hidden="1" outlineLevel="2" x14ac:dyDescent="0.25">
      <c r="A95" s="26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71"/>
        <v>0</v>
      </c>
      <c r="G95" s="2"/>
      <c r="H95" s="7"/>
      <c r="I95" s="2"/>
      <c r="J95" s="6">
        <f t="shared" si="72"/>
        <v>0</v>
      </c>
      <c r="K95" s="2"/>
      <c r="L95" s="7">
        <f t="shared" si="73"/>
        <v>0</v>
      </c>
      <c r="M95" s="2"/>
      <c r="N95" s="6">
        <f t="shared" si="74"/>
        <v>0</v>
      </c>
      <c r="O95" s="11"/>
      <c r="P95" s="7"/>
      <c r="Q95" s="2"/>
      <c r="R95" s="6">
        <f t="shared" si="75"/>
        <v>0</v>
      </c>
      <c r="S95" s="2"/>
      <c r="T95" s="7">
        <v>900</v>
      </c>
      <c r="U95" s="2"/>
      <c r="V95" s="6">
        <f t="shared" si="76"/>
        <v>1.3739367256339955E-3</v>
      </c>
      <c r="W95" s="2"/>
      <c r="X95" s="7">
        <f t="shared" si="77"/>
        <v>-900</v>
      </c>
      <c r="Y95" s="2"/>
      <c r="Z95" s="6">
        <f t="shared" si="78"/>
        <v>-1</v>
      </c>
    </row>
    <row r="96" spans="1:26" s="24" customFormat="1" hidden="1" outlineLevel="2" x14ac:dyDescent="0.25">
      <c r="A96" s="26"/>
      <c r="B96" s="11" t="str">
        <f>CONCATENATE("          ", "6275", " - ", "SUBSCRIPTIONS")</f>
        <v xml:space="preserve">          6275 - SUBSCRIPTIONS</v>
      </c>
      <c r="C96" s="11"/>
      <c r="D96" s="7">
        <v>119.07</v>
      </c>
      <c r="E96" s="2"/>
      <c r="F96" s="6">
        <f t="shared" si="71"/>
        <v>2.0756544404048178E-3</v>
      </c>
      <c r="G96" s="2"/>
      <c r="H96" s="7">
        <v>376</v>
      </c>
      <c r="I96" s="2"/>
      <c r="J96" s="6">
        <f t="shared" si="72"/>
        <v>2.8194149713934359E-3</v>
      </c>
      <c r="K96" s="2"/>
      <c r="L96" s="7">
        <f t="shared" si="73"/>
        <v>-256.93</v>
      </c>
      <c r="M96" s="2"/>
      <c r="N96" s="6">
        <f t="shared" si="74"/>
        <v>-0.68332446808510638</v>
      </c>
      <c r="O96" s="11"/>
      <c r="P96" s="7">
        <v>916.08</v>
      </c>
      <c r="Q96" s="2"/>
      <c r="R96" s="6">
        <f t="shared" si="75"/>
        <v>2.3710902169699743E-3</v>
      </c>
      <c r="S96" s="2"/>
      <c r="T96" s="7">
        <v>3365</v>
      </c>
      <c r="U96" s="2"/>
      <c r="V96" s="6">
        <f t="shared" si="76"/>
        <v>5.1369967575093274E-3</v>
      </c>
      <c r="W96" s="2"/>
      <c r="X96" s="7">
        <f t="shared" si="77"/>
        <v>-2448.92</v>
      </c>
      <c r="Y96" s="2"/>
      <c r="Z96" s="6">
        <f t="shared" si="78"/>
        <v>-0.72776225854383358</v>
      </c>
    </row>
    <row r="97" spans="1:26" s="25" customFormat="1" outlineLevel="1" collapsed="1" x14ac:dyDescent="0.25">
      <c r="A97" s="27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SUM(OSRRefD22_17x_0)</f>
        <v>94.92</v>
      </c>
      <c r="E97" s="1"/>
      <c r="F97" s="5">
        <f t="shared" ref="F97:F108" si="79">IF(D$12=0,0,D97/D$12)</f>
        <v>1.6546663263897314E-3</v>
      </c>
      <c r="G97" s="1"/>
      <c r="H97" s="1">
        <f>SUM(OSRRefH22_17x_0)</f>
        <v>2833</v>
      </c>
      <c r="I97" s="1"/>
      <c r="J97" s="5">
        <f t="shared" ref="J97:J108" si="80">IF(H$12=0,0,H97/H$12)</f>
        <v>2.1243092058397882E-2</v>
      </c>
      <c r="K97" s="1"/>
      <c r="L97" s="1">
        <f t="shared" ref="L97:L108" si="81">+D97-H97</f>
        <v>-2738.08</v>
      </c>
      <c r="M97" s="1"/>
      <c r="N97" s="5">
        <f t="shared" ref="N97:N108" si="82">IF(H97=0,0,L97/H97)</f>
        <v>-0.96649488175079423</v>
      </c>
      <c r="O97" s="13"/>
      <c r="P97" s="1">
        <f>SUM(OSRRefP22_17x_0)</f>
        <v>-20157.850000000002</v>
      </c>
      <c r="Q97" s="1"/>
      <c r="R97" s="5">
        <f t="shared" ref="R97:R108" si="83">IF(P$12=0,0,P97/P$12)</f>
        <v>-5.2174570921915332E-2</v>
      </c>
      <c r="S97" s="1"/>
      <c r="T97" s="1">
        <f>SUM(OSRRefT22_17x_0)</f>
        <v>41492</v>
      </c>
      <c r="U97" s="1"/>
      <c r="V97" s="5">
        <f t="shared" ref="V97:V108" si="84">IF(T$12=0,0,T97/T$12)</f>
        <v>6.3341536244450825E-2</v>
      </c>
      <c r="W97" s="1"/>
      <c r="X97" s="1">
        <f t="shared" ref="X97:X108" si="85">+P97-T97</f>
        <v>-61649.850000000006</v>
      </c>
      <c r="Y97" s="1"/>
      <c r="Z97" s="5">
        <f t="shared" ref="Z97:Z108" si="86">IF(T97=0,0,X97/T97)</f>
        <v>-1.4858249783090718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79"/>
        <v>0</v>
      </c>
      <c r="G98" s="2"/>
      <c r="H98" s="7"/>
      <c r="I98" s="2"/>
      <c r="J98" s="6">
        <f t="shared" si="80"/>
        <v>0</v>
      </c>
      <c r="K98" s="2"/>
      <c r="L98" s="7">
        <f t="shared" si="81"/>
        <v>0</v>
      </c>
      <c r="M98" s="2"/>
      <c r="N98" s="6">
        <f t="shared" si="82"/>
        <v>0</v>
      </c>
      <c r="O98" s="11"/>
      <c r="P98" s="7">
        <v>627.58000000000004</v>
      </c>
      <c r="Q98" s="2"/>
      <c r="R98" s="6">
        <f t="shared" si="83"/>
        <v>1.6243655558095542E-3</v>
      </c>
      <c r="S98" s="2"/>
      <c r="T98" s="7">
        <v>1104</v>
      </c>
      <c r="U98" s="2"/>
      <c r="V98" s="6">
        <f t="shared" si="84"/>
        <v>1.6853623834443678E-3</v>
      </c>
      <c r="W98" s="2"/>
      <c r="X98" s="7">
        <f t="shared" si="85"/>
        <v>-476.41999999999996</v>
      </c>
      <c r="Y98" s="2"/>
      <c r="Z98" s="6">
        <f t="shared" si="86"/>
        <v>-0.43153985507246373</v>
      </c>
    </row>
    <row r="99" spans="1:26" s="24" customFormat="1" hidden="1" outlineLevel="2" x14ac:dyDescent="0.25">
      <c r="A99" s="26"/>
      <c r="B99" s="11" t="str">
        <f>CONCATENATE("          ", "6235", " - ", "COVID-19 EXPENSES")</f>
        <v xml:space="preserve">          6235 - COVID-19 EXPENSES</v>
      </c>
      <c r="C99" s="11"/>
      <c r="D99" s="7"/>
      <c r="E99" s="2"/>
      <c r="F99" s="6">
        <f t="shared" si="79"/>
        <v>0</v>
      </c>
      <c r="G99" s="2"/>
      <c r="H99" s="7">
        <v>400</v>
      </c>
      <c r="I99" s="2"/>
      <c r="J99" s="6">
        <f t="shared" si="80"/>
        <v>2.9993776291419531E-3</v>
      </c>
      <c r="K99" s="2"/>
      <c r="L99" s="7">
        <f t="shared" si="81"/>
        <v>-400</v>
      </c>
      <c r="M99" s="2"/>
      <c r="N99" s="6">
        <f t="shared" si="82"/>
        <v>-1</v>
      </c>
      <c r="O99" s="11"/>
      <c r="P99" s="7">
        <v>7089.13</v>
      </c>
      <c r="Q99" s="2"/>
      <c r="R99" s="6">
        <f t="shared" si="83"/>
        <v>1.8348797910475452E-2</v>
      </c>
      <c r="S99" s="2"/>
      <c r="T99" s="7">
        <v>4100</v>
      </c>
      <c r="U99" s="2"/>
      <c r="V99" s="6">
        <f t="shared" si="84"/>
        <v>6.2590450834437575E-3</v>
      </c>
      <c r="W99" s="2"/>
      <c r="X99" s="7">
        <f t="shared" si="85"/>
        <v>2989.13</v>
      </c>
      <c r="Y99" s="2"/>
      <c r="Z99" s="6">
        <f t="shared" si="86"/>
        <v>0.72905609756097567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7"/>
      <c r="E100" s="2"/>
      <c r="F100" s="6">
        <f t="shared" si="79"/>
        <v>0</v>
      </c>
      <c r="G100" s="2"/>
      <c r="H100" s="7">
        <v>831</v>
      </c>
      <c r="I100" s="2"/>
      <c r="J100" s="6">
        <f t="shared" si="80"/>
        <v>6.2312070245424071E-3</v>
      </c>
      <c r="K100" s="2"/>
      <c r="L100" s="7">
        <f t="shared" si="81"/>
        <v>-831</v>
      </c>
      <c r="M100" s="2"/>
      <c r="N100" s="6">
        <f t="shared" si="82"/>
        <v>-1</v>
      </c>
      <c r="O100" s="11"/>
      <c r="P100" s="7">
        <v>676.48</v>
      </c>
      <c r="Q100" s="2"/>
      <c r="R100" s="6">
        <f t="shared" si="83"/>
        <v>1.7509334446509563E-3</v>
      </c>
      <c r="S100" s="2"/>
      <c r="T100" s="7">
        <v>9371</v>
      </c>
      <c r="U100" s="2"/>
      <c r="V100" s="6">
        <f t="shared" si="84"/>
        <v>1.4305734506573523E-2</v>
      </c>
      <c r="W100" s="2"/>
      <c r="X100" s="7">
        <f t="shared" si="85"/>
        <v>-8694.52</v>
      </c>
      <c r="Y100" s="2"/>
      <c r="Z100" s="6">
        <f t="shared" si="86"/>
        <v>-0.92781133283534312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7"/>
      <c r="E101" s="2"/>
      <c r="F101" s="6">
        <f t="shared" si="79"/>
        <v>0</v>
      </c>
      <c r="G101" s="2"/>
      <c r="H101" s="7">
        <v>50</v>
      </c>
      <c r="I101" s="2"/>
      <c r="J101" s="6">
        <f t="shared" si="80"/>
        <v>3.7492220364274413E-4</v>
      </c>
      <c r="K101" s="2"/>
      <c r="L101" s="7">
        <f t="shared" si="81"/>
        <v>-50</v>
      </c>
      <c r="M101" s="2"/>
      <c r="N101" s="6">
        <f t="shared" si="82"/>
        <v>-1</v>
      </c>
      <c r="O101" s="11"/>
      <c r="P101" s="7">
        <v>19.829999999999998</v>
      </c>
      <c r="Q101" s="2"/>
      <c r="R101" s="6">
        <f t="shared" si="83"/>
        <v>5.1325996640593161E-5</v>
      </c>
      <c r="S101" s="2"/>
      <c r="T101" s="7">
        <v>393</v>
      </c>
      <c r="U101" s="2"/>
      <c r="V101" s="6">
        <f t="shared" si="84"/>
        <v>5.9995237019351132E-4</v>
      </c>
      <c r="W101" s="2"/>
      <c r="X101" s="7">
        <f t="shared" si="85"/>
        <v>-373.17</v>
      </c>
      <c r="Y101" s="2"/>
      <c r="Z101" s="6">
        <f t="shared" si="86"/>
        <v>-0.94954198473282447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7"/>
      <c r="E102" s="2"/>
      <c r="F102" s="6">
        <f t="shared" si="79"/>
        <v>0</v>
      </c>
      <c r="G102" s="2"/>
      <c r="H102" s="7">
        <v>125</v>
      </c>
      <c r="I102" s="2"/>
      <c r="J102" s="6">
        <f t="shared" si="80"/>
        <v>9.3730550910686033E-4</v>
      </c>
      <c r="K102" s="2"/>
      <c r="L102" s="7">
        <f t="shared" si="81"/>
        <v>-125</v>
      </c>
      <c r="M102" s="2"/>
      <c r="N102" s="6">
        <f t="shared" si="82"/>
        <v>-1</v>
      </c>
      <c r="O102" s="11"/>
      <c r="P102" s="7">
        <v>-28852.560000000001</v>
      </c>
      <c r="Q102" s="2"/>
      <c r="R102" s="6">
        <f t="shared" si="83"/>
        <v>-7.4679092165028382E-2</v>
      </c>
      <c r="S102" s="2"/>
      <c r="T102" s="7">
        <v>5587</v>
      </c>
      <c r="U102" s="2"/>
      <c r="V102" s="6">
        <f t="shared" si="84"/>
        <v>8.5290938734634801E-3</v>
      </c>
      <c r="W102" s="2"/>
      <c r="X102" s="7">
        <f t="shared" si="85"/>
        <v>-34439.56</v>
      </c>
      <c r="Y102" s="2"/>
      <c r="Z102" s="6">
        <f t="shared" si="86"/>
        <v>-6.1642312511186681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7">
        <v>94.92</v>
      </c>
      <c r="E103" s="2"/>
      <c r="F103" s="6">
        <f t="shared" si="79"/>
        <v>1.6546663263897314E-3</v>
      </c>
      <c r="G103" s="2"/>
      <c r="H103" s="7">
        <v>600</v>
      </c>
      <c r="I103" s="2"/>
      <c r="J103" s="6">
        <f t="shared" si="80"/>
        <v>4.4990664437129296E-3</v>
      </c>
      <c r="K103" s="2"/>
      <c r="L103" s="7">
        <f t="shared" si="81"/>
        <v>-505.08</v>
      </c>
      <c r="M103" s="2"/>
      <c r="N103" s="6">
        <f t="shared" si="82"/>
        <v>-0.84179999999999999</v>
      </c>
      <c r="O103" s="11"/>
      <c r="P103" s="7">
        <v>160.41</v>
      </c>
      <c r="Q103" s="2"/>
      <c r="R103" s="6">
        <f t="shared" si="83"/>
        <v>4.151892648067347E-4</v>
      </c>
      <c r="S103" s="2"/>
      <c r="T103" s="7">
        <v>6491</v>
      </c>
      <c r="U103" s="2"/>
      <c r="V103" s="6">
        <f t="shared" si="84"/>
        <v>9.9091369845447381E-3</v>
      </c>
      <c r="W103" s="2"/>
      <c r="X103" s="7">
        <f t="shared" si="85"/>
        <v>-6330.59</v>
      </c>
      <c r="Y103" s="2"/>
      <c r="Z103" s="6">
        <f t="shared" si="86"/>
        <v>-0.97528732090586967</v>
      </c>
    </row>
    <row r="104" spans="1:26" s="24" customFormat="1" hidden="1" outlineLevel="2" x14ac:dyDescent="0.25">
      <c r="A104" s="26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79"/>
        <v>0</v>
      </c>
      <c r="G104" s="2"/>
      <c r="H104" s="7">
        <v>0</v>
      </c>
      <c r="I104" s="2"/>
      <c r="J104" s="6">
        <f t="shared" si="80"/>
        <v>0</v>
      </c>
      <c r="K104" s="2"/>
      <c r="L104" s="7">
        <f t="shared" si="81"/>
        <v>0</v>
      </c>
      <c r="M104" s="2"/>
      <c r="N104" s="6">
        <f t="shared" si="82"/>
        <v>0</v>
      </c>
      <c r="O104" s="11"/>
      <c r="P104" s="7"/>
      <c r="Q104" s="2"/>
      <c r="R104" s="6">
        <f t="shared" si="83"/>
        <v>0</v>
      </c>
      <c r="S104" s="2"/>
      <c r="T104" s="7">
        <v>0</v>
      </c>
      <c r="U104" s="2"/>
      <c r="V104" s="6">
        <f t="shared" si="84"/>
        <v>0</v>
      </c>
      <c r="W104" s="2"/>
      <c r="X104" s="7">
        <f t="shared" si="85"/>
        <v>0</v>
      </c>
      <c r="Y104" s="2"/>
      <c r="Z104" s="6">
        <f t="shared" si="86"/>
        <v>0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79"/>
        <v>0</v>
      </c>
      <c r="G105" s="2"/>
      <c r="H105" s="7">
        <v>0</v>
      </c>
      <c r="I105" s="2"/>
      <c r="J105" s="6">
        <f t="shared" si="80"/>
        <v>0</v>
      </c>
      <c r="K105" s="2"/>
      <c r="L105" s="7">
        <f t="shared" si="81"/>
        <v>0</v>
      </c>
      <c r="M105" s="2"/>
      <c r="N105" s="6">
        <f t="shared" si="82"/>
        <v>0</v>
      </c>
      <c r="O105" s="11"/>
      <c r="P105" s="7"/>
      <c r="Q105" s="2"/>
      <c r="R105" s="6">
        <f t="shared" si="83"/>
        <v>0</v>
      </c>
      <c r="S105" s="2"/>
      <c r="T105" s="7">
        <v>0</v>
      </c>
      <c r="U105" s="2"/>
      <c r="V105" s="6">
        <f t="shared" si="84"/>
        <v>0</v>
      </c>
      <c r="W105" s="2"/>
      <c r="X105" s="7">
        <f t="shared" si="85"/>
        <v>0</v>
      </c>
      <c r="Y105" s="2"/>
      <c r="Z105" s="6">
        <f t="shared" si="86"/>
        <v>0</v>
      </c>
    </row>
    <row r="106" spans="1:26" s="24" customFormat="1" hidden="1" outlineLevel="2" x14ac:dyDescent="0.25">
      <c r="A106" s="26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79"/>
        <v>0</v>
      </c>
      <c r="G106" s="2"/>
      <c r="H106" s="7">
        <v>0</v>
      </c>
      <c r="I106" s="2"/>
      <c r="J106" s="6">
        <f t="shared" si="80"/>
        <v>0</v>
      </c>
      <c r="K106" s="2"/>
      <c r="L106" s="7">
        <f t="shared" si="81"/>
        <v>0</v>
      </c>
      <c r="M106" s="2"/>
      <c r="N106" s="6">
        <f t="shared" si="82"/>
        <v>0</v>
      </c>
      <c r="O106" s="11"/>
      <c r="P106" s="7"/>
      <c r="Q106" s="2"/>
      <c r="R106" s="6">
        <f t="shared" si="83"/>
        <v>0</v>
      </c>
      <c r="S106" s="2"/>
      <c r="T106" s="7">
        <v>0</v>
      </c>
      <c r="U106" s="2"/>
      <c r="V106" s="6">
        <f t="shared" si="84"/>
        <v>0</v>
      </c>
      <c r="W106" s="2"/>
      <c r="X106" s="7">
        <f t="shared" si="85"/>
        <v>0</v>
      </c>
      <c r="Y106" s="2"/>
      <c r="Z106" s="6">
        <f t="shared" si="86"/>
        <v>0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79"/>
        <v>0</v>
      </c>
      <c r="G107" s="2"/>
      <c r="H107" s="7">
        <v>827</v>
      </c>
      <c r="I107" s="2"/>
      <c r="J107" s="6">
        <f t="shared" si="80"/>
        <v>6.201213248250988E-3</v>
      </c>
      <c r="K107" s="2"/>
      <c r="L107" s="7">
        <f t="shared" si="81"/>
        <v>-827</v>
      </c>
      <c r="M107" s="2"/>
      <c r="N107" s="6">
        <f t="shared" si="82"/>
        <v>-1</v>
      </c>
      <c r="O107" s="11"/>
      <c r="P107" s="7">
        <v>121.28</v>
      </c>
      <c r="Q107" s="2"/>
      <c r="R107" s="6">
        <f t="shared" si="83"/>
        <v>3.139090707297599E-4</v>
      </c>
      <c r="S107" s="2"/>
      <c r="T107" s="7">
        <v>14231</v>
      </c>
      <c r="U107" s="2"/>
      <c r="V107" s="6">
        <f t="shared" si="84"/>
        <v>2.17249928249971E-2</v>
      </c>
      <c r="W107" s="2"/>
      <c r="X107" s="7">
        <f t="shared" si="85"/>
        <v>-14109.72</v>
      </c>
      <c r="Y107" s="2"/>
      <c r="Z107" s="6">
        <f t="shared" si="86"/>
        <v>-0.99147775982011099</v>
      </c>
    </row>
    <row r="108" spans="1:26" s="24" customFormat="1" hidden="1" outlineLevel="2" x14ac:dyDescent="0.25">
      <c r="A108" s="26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79"/>
        <v>0</v>
      </c>
      <c r="G108" s="2"/>
      <c r="H108" s="7"/>
      <c r="I108" s="2"/>
      <c r="J108" s="6">
        <f t="shared" si="80"/>
        <v>0</v>
      </c>
      <c r="K108" s="2"/>
      <c r="L108" s="7">
        <f t="shared" si="81"/>
        <v>0</v>
      </c>
      <c r="M108" s="2"/>
      <c r="N108" s="6">
        <f t="shared" si="82"/>
        <v>0</v>
      </c>
      <c r="O108" s="11"/>
      <c r="P108" s="7"/>
      <c r="Q108" s="2"/>
      <c r="R108" s="6">
        <f t="shared" si="83"/>
        <v>0</v>
      </c>
      <c r="S108" s="2"/>
      <c r="T108" s="7">
        <v>215</v>
      </c>
      <c r="U108" s="2"/>
      <c r="V108" s="6">
        <f t="shared" si="84"/>
        <v>3.2821821779034334E-4</v>
      </c>
      <c r="W108" s="2"/>
      <c r="X108" s="7">
        <f t="shared" si="85"/>
        <v>-215</v>
      </c>
      <c r="Y108" s="2"/>
      <c r="Z108" s="6">
        <f t="shared" si="86"/>
        <v>-1</v>
      </c>
    </row>
    <row r="109" spans="1:26" s="25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SUM(OSRRefD22_18x_0)</f>
        <v>581.45000000000005</v>
      </c>
      <c r="E109" s="1"/>
      <c r="F109" s="5">
        <f t="shared" ref="F109:F111" si="87">IF(D$12=0,0,D109/D$12)</f>
        <v>1.0135964343439838E-2</v>
      </c>
      <c r="G109" s="1"/>
      <c r="H109" s="1">
        <f>SUM(OSRRefH22_18x_0)</f>
        <v>620</v>
      </c>
      <c r="I109" s="1"/>
      <c r="J109" s="5">
        <f t="shared" ref="J109:J111" si="88">IF(H$12=0,0,H109/H$12)</f>
        <v>4.6490353251700273E-3</v>
      </c>
      <c r="K109" s="1"/>
      <c r="L109" s="1">
        <f t="shared" ref="L109:L111" si="89">+D109-H109</f>
        <v>-38.549999999999955</v>
      </c>
      <c r="M109" s="1"/>
      <c r="N109" s="5">
        <f t="shared" ref="N109:N111" si="90">IF(H109=0,0,L109/H109)</f>
        <v>-6.2177419354838635E-2</v>
      </c>
      <c r="O109" s="13"/>
      <c r="P109" s="1">
        <f>SUM(OSRRefP22_18x_0)</f>
        <v>8790.2999999999993</v>
      </c>
      <c r="Q109" s="1"/>
      <c r="R109" s="5">
        <f t="shared" ref="R109:R111" si="91">IF(P$12=0,0,P109/P$12)</f>
        <v>2.275193687694433E-2</v>
      </c>
      <c r="S109" s="1"/>
      <c r="T109" s="1">
        <f>SUM(OSRRefT22_18x_0)</f>
        <v>5617</v>
      </c>
      <c r="U109" s="1"/>
      <c r="V109" s="5">
        <f t="shared" ref="V109:V111" si="92">IF(T$12=0,0,T109/T$12)</f>
        <v>8.5748917643179469E-3</v>
      </c>
      <c r="W109" s="1"/>
      <c r="X109" s="1">
        <f t="shared" ref="X109:X111" si="93">+P109-T109</f>
        <v>3173.2999999999993</v>
      </c>
      <c r="Y109" s="1"/>
      <c r="Z109" s="5">
        <f t="shared" ref="Z109:Z111" si="94">IF(T109=0,0,X109/T109)</f>
        <v>0.56494570055189586</v>
      </c>
    </row>
    <row r="110" spans="1:26" s="24" customFormat="1" hidden="1" outlineLevel="2" x14ac:dyDescent="0.25">
      <c r="A110" s="26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87"/>
        <v>0</v>
      </c>
      <c r="G110" s="2"/>
      <c r="H110" s="7">
        <v>370</v>
      </c>
      <c r="I110" s="2"/>
      <c r="J110" s="6">
        <f t="shared" si="88"/>
        <v>2.7744243069563065E-3</v>
      </c>
      <c r="K110" s="2"/>
      <c r="L110" s="7">
        <f t="shared" si="89"/>
        <v>-370</v>
      </c>
      <c r="M110" s="2"/>
      <c r="N110" s="6">
        <f t="shared" si="90"/>
        <v>-1</v>
      </c>
      <c r="O110" s="11"/>
      <c r="P110" s="7"/>
      <c r="Q110" s="2"/>
      <c r="R110" s="6">
        <f t="shared" si="91"/>
        <v>0</v>
      </c>
      <c r="S110" s="2"/>
      <c r="T110" s="7">
        <v>3367</v>
      </c>
      <c r="U110" s="2"/>
      <c r="V110" s="6">
        <f t="shared" si="92"/>
        <v>5.140049950232959E-3</v>
      </c>
      <c r="W110" s="2"/>
      <c r="X110" s="7">
        <f t="shared" si="93"/>
        <v>-3367</v>
      </c>
      <c r="Y110" s="2"/>
      <c r="Z110" s="6">
        <f t="shared" si="94"/>
        <v>-1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7">
        <v>581.45000000000005</v>
      </c>
      <c r="E111" s="2"/>
      <c r="F111" s="6">
        <f t="shared" si="87"/>
        <v>1.0135964343439838E-2</v>
      </c>
      <c r="G111" s="2"/>
      <c r="H111" s="7">
        <v>250</v>
      </c>
      <c r="I111" s="2"/>
      <c r="J111" s="6">
        <f t="shared" si="88"/>
        <v>1.8746110182137207E-3</v>
      </c>
      <c r="K111" s="2"/>
      <c r="L111" s="7">
        <f t="shared" si="89"/>
        <v>331.45000000000005</v>
      </c>
      <c r="M111" s="2"/>
      <c r="N111" s="6">
        <f t="shared" si="90"/>
        <v>1.3258000000000001</v>
      </c>
      <c r="O111" s="11"/>
      <c r="P111" s="7">
        <v>8790.2999999999993</v>
      </c>
      <c r="Q111" s="2"/>
      <c r="R111" s="6">
        <f t="shared" si="91"/>
        <v>2.275193687694433E-2</v>
      </c>
      <c r="S111" s="2"/>
      <c r="T111" s="7">
        <v>2250</v>
      </c>
      <c r="U111" s="2"/>
      <c r="V111" s="6">
        <f t="shared" si="92"/>
        <v>3.4348418140849888E-3</v>
      </c>
      <c r="W111" s="2"/>
      <c r="X111" s="7">
        <f t="shared" si="93"/>
        <v>6540.2999999999993</v>
      </c>
      <c r="Y111" s="2"/>
      <c r="Z111" s="6">
        <f t="shared" si="94"/>
        <v>2.9067999999999996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SUM(OSRRefD22_19x_0)</f>
        <v>0</v>
      </c>
      <c r="E112" s="1"/>
      <c r="F112" s="5">
        <f t="shared" ref="F112:F117" si="95">IF(D$12=0,0,D112/D$12)</f>
        <v>0</v>
      </c>
      <c r="G112" s="1"/>
      <c r="H112" s="1">
        <f>SUM(OSRRefH22_19x_0)</f>
        <v>0</v>
      </c>
      <c r="I112" s="1"/>
      <c r="J112" s="5">
        <f t="shared" ref="J112:J117" si="96">IF(H$12=0,0,H112/H$12)</f>
        <v>0</v>
      </c>
      <c r="K112" s="1"/>
      <c r="L112" s="1">
        <f t="shared" ref="L112:L117" si="97">+D112-H112</f>
        <v>0</v>
      </c>
      <c r="M112" s="1"/>
      <c r="N112" s="5">
        <f t="shared" ref="N112:N117" si="98">IF(H112=0,0,L112/H112)</f>
        <v>0</v>
      </c>
      <c r="O112" s="13"/>
      <c r="P112" s="1">
        <f>SUM(OSRRefP22_19x_0)</f>
        <v>400</v>
      </c>
      <c r="Q112" s="1"/>
      <c r="R112" s="5">
        <f t="shared" ref="R112:R117" si="99">IF(P$12=0,0,P112/P$12)</f>
        <v>1.0353201541218994E-3</v>
      </c>
      <c r="S112" s="1"/>
      <c r="T112" s="1">
        <f>SUM(OSRRefT22_19x_0)</f>
        <v>240</v>
      </c>
      <c r="U112" s="1"/>
      <c r="V112" s="5">
        <f t="shared" ref="V112:V117" si="100">IF(T$12=0,0,T112/T$12)</f>
        <v>3.6638312683573215E-4</v>
      </c>
      <c r="W112" s="1"/>
      <c r="X112" s="1">
        <f t="shared" ref="X112:X117" si="101">+P112-T112</f>
        <v>160</v>
      </c>
      <c r="Y112" s="1"/>
      <c r="Z112" s="5">
        <f t="shared" ref="Z112:Z117" si="102">IF(T112=0,0,X112/T112)</f>
        <v>0.66666666666666663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95"/>
        <v>0</v>
      </c>
      <c r="G113" s="2"/>
      <c r="H113" s="7">
        <v>0</v>
      </c>
      <c r="I113" s="2"/>
      <c r="J113" s="6">
        <f t="shared" si="96"/>
        <v>0</v>
      </c>
      <c r="K113" s="2"/>
      <c r="L113" s="7">
        <f t="shared" si="97"/>
        <v>0</v>
      </c>
      <c r="M113" s="2"/>
      <c r="N113" s="6">
        <f t="shared" si="98"/>
        <v>0</v>
      </c>
      <c r="O113" s="11"/>
      <c r="P113" s="7">
        <v>400</v>
      </c>
      <c r="Q113" s="2"/>
      <c r="R113" s="6">
        <f t="shared" si="99"/>
        <v>1.0353201541218994E-3</v>
      </c>
      <c r="S113" s="2"/>
      <c r="T113" s="7">
        <v>240</v>
      </c>
      <c r="U113" s="2"/>
      <c r="V113" s="6">
        <f t="shared" si="100"/>
        <v>3.6638312683573215E-4</v>
      </c>
      <c r="W113" s="2"/>
      <c r="X113" s="7">
        <f t="shared" si="101"/>
        <v>160</v>
      </c>
      <c r="Y113" s="2"/>
      <c r="Z113" s="6">
        <f t="shared" si="102"/>
        <v>0.66666666666666663</v>
      </c>
    </row>
    <row r="114" spans="1:26" s="25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SUM(OSRRefD22_20x_0)</f>
        <v>0</v>
      </c>
      <c r="E114" s="1"/>
      <c r="F114" s="5">
        <f t="shared" si="95"/>
        <v>0</v>
      </c>
      <c r="G114" s="1"/>
      <c r="H114" s="1">
        <f>SUM(OSRRefH22_20x_0)</f>
        <v>0</v>
      </c>
      <c r="I114" s="1"/>
      <c r="J114" s="5">
        <f t="shared" si="96"/>
        <v>0</v>
      </c>
      <c r="K114" s="1"/>
      <c r="L114" s="1">
        <f t="shared" si="97"/>
        <v>0</v>
      </c>
      <c r="M114" s="1"/>
      <c r="N114" s="5">
        <f t="shared" si="98"/>
        <v>0</v>
      </c>
      <c r="O114" s="13"/>
      <c r="P114" s="1">
        <f>SUM(OSRRefP22_20x_0)</f>
        <v>332.21</v>
      </c>
      <c r="Q114" s="1"/>
      <c r="R114" s="5">
        <f t="shared" si="99"/>
        <v>8.5985927100209049E-4</v>
      </c>
      <c r="S114" s="1"/>
      <c r="T114" s="1">
        <f>SUM(OSRRefT22_20x_0)</f>
        <v>1500</v>
      </c>
      <c r="U114" s="1"/>
      <c r="V114" s="5">
        <f t="shared" si="100"/>
        <v>2.2898945427233257E-3</v>
      </c>
      <c r="W114" s="1"/>
      <c r="X114" s="1">
        <f t="shared" si="101"/>
        <v>-1167.79</v>
      </c>
      <c r="Y114" s="1"/>
      <c r="Z114" s="5">
        <f t="shared" si="102"/>
        <v>-0.77852666666666659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95"/>
        <v>0</v>
      </c>
      <c r="G115" s="2"/>
      <c r="H115" s="7"/>
      <c r="I115" s="2"/>
      <c r="J115" s="6">
        <f t="shared" si="96"/>
        <v>0</v>
      </c>
      <c r="K115" s="2"/>
      <c r="L115" s="7">
        <f t="shared" si="97"/>
        <v>0</v>
      </c>
      <c r="M115" s="2"/>
      <c r="N115" s="6">
        <f t="shared" si="98"/>
        <v>0</v>
      </c>
      <c r="O115" s="11"/>
      <c r="P115" s="7"/>
      <c r="Q115" s="2"/>
      <c r="R115" s="6">
        <f t="shared" si="99"/>
        <v>0</v>
      </c>
      <c r="S115" s="2"/>
      <c r="T115" s="7">
        <v>1500</v>
      </c>
      <c r="U115" s="2"/>
      <c r="V115" s="6">
        <f t="shared" si="100"/>
        <v>2.2898945427233257E-3</v>
      </c>
      <c r="W115" s="2"/>
      <c r="X115" s="7">
        <f t="shared" si="101"/>
        <v>-1500</v>
      </c>
      <c r="Y115" s="2"/>
      <c r="Z115" s="6">
        <f t="shared" si="102"/>
        <v>-1</v>
      </c>
    </row>
    <row r="116" spans="1:26" s="24" customFormat="1" hidden="1" outlineLevel="2" x14ac:dyDescent="0.25">
      <c r="A116" s="26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95"/>
        <v>0</v>
      </c>
      <c r="G116" s="2"/>
      <c r="H116" s="7"/>
      <c r="I116" s="2"/>
      <c r="J116" s="6">
        <f t="shared" si="96"/>
        <v>0</v>
      </c>
      <c r="K116" s="2"/>
      <c r="L116" s="7">
        <f t="shared" si="97"/>
        <v>0</v>
      </c>
      <c r="M116" s="2"/>
      <c r="N116" s="6">
        <f t="shared" si="98"/>
        <v>0</v>
      </c>
      <c r="O116" s="11"/>
      <c r="P116" s="7"/>
      <c r="Q116" s="2"/>
      <c r="R116" s="6">
        <f t="shared" si="99"/>
        <v>0</v>
      </c>
      <c r="S116" s="2"/>
      <c r="T116" s="7">
        <v>0</v>
      </c>
      <c r="U116" s="2"/>
      <c r="V116" s="6">
        <f t="shared" si="100"/>
        <v>0</v>
      </c>
      <c r="W116" s="2"/>
      <c r="X116" s="7">
        <f t="shared" si="101"/>
        <v>0</v>
      </c>
      <c r="Y116" s="2"/>
      <c r="Z116" s="6">
        <f t="shared" si="102"/>
        <v>0</v>
      </c>
    </row>
    <row r="117" spans="1:26" s="24" customFormat="1" hidden="1" outlineLevel="2" x14ac:dyDescent="0.25">
      <c r="A117" s="26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95"/>
        <v>0</v>
      </c>
      <c r="G117" s="2"/>
      <c r="H117" s="7"/>
      <c r="I117" s="2"/>
      <c r="J117" s="6">
        <f t="shared" si="96"/>
        <v>0</v>
      </c>
      <c r="K117" s="2"/>
      <c r="L117" s="7">
        <f t="shared" si="97"/>
        <v>0</v>
      </c>
      <c r="M117" s="2"/>
      <c r="N117" s="6">
        <f t="shared" si="98"/>
        <v>0</v>
      </c>
      <c r="O117" s="11"/>
      <c r="P117" s="7">
        <v>332.21</v>
      </c>
      <c r="Q117" s="2"/>
      <c r="R117" s="6">
        <f t="shared" si="99"/>
        <v>8.5985927100209049E-4</v>
      </c>
      <c r="S117" s="2"/>
      <c r="T117" s="7"/>
      <c r="U117" s="2"/>
      <c r="V117" s="6">
        <f t="shared" si="100"/>
        <v>0</v>
      </c>
      <c r="W117" s="2"/>
      <c r="X117" s="7">
        <f t="shared" si="101"/>
        <v>332.21</v>
      </c>
      <c r="Y117" s="2"/>
      <c r="Z117" s="6">
        <f t="shared" si="102"/>
        <v>0</v>
      </c>
    </row>
    <row r="118" spans="1:26" s="25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SUM(OSRRefD22_21x_0)</f>
        <v>-10954</v>
      </c>
      <c r="E118" s="1"/>
      <c r="F118" s="5">
        <f t="shared" ref="F118:F119" si="103">IF(D$12=0,0,D118/D$12)</f>
        <v>-0.19095253834042475</v>
      </c>
      <c r="G118" s="1"/>
      <c r="H118" s="1">
        <f>SUM(OSRRefH22_21x_0)</f>
        <v>4150</v>
      </c>
      <c r="I118" s="1"/>
      <c r="J118" s="5">
        <f t="shared" ref="J118:J119" si="104">IF(H$12=0,0,H118/H$12)</f>
        <v>3.1118542902347762E-2</v>
      </c>
      <c r="K118" s="1"/>
      <c r="L118" s="1">
        <f t="shared" ref="L118:L119" si="105">+D118-H118</f>
        <v>-15104</v>
      </c>
      <c r="M118" s="1"/>
      <c r="N118" s="5">
        <f t="shared" ref="N118:N119" si="106">IF(H118=0,0,L118/H118)</f>
        <v>-3.6395180722891567</v>
      </c>
      <c r="O118" s="13"/>
      <c r="P118" s="1">
        <f>SUM(OSRRefP22_21x_0)</f>
        <v>3188</v>
      </c>
      <c r="Q118" s="1"/>
      <c r="R118" s="5">
        <f t="shared" ref="R118:R119" si="107">IF(P$12=0,0,P118/P$12)</f>
        <v>8.2515016283515388E-3</v>
      </c>
      <c r="S118" s="1"/>
      <c r="T118" s="1">
        <f>SUM(OSRRefT22_21x_0)</f>
        <v>37644</v>
      </c>
      <c r="U118" s="1"/>
      <c r="V118" s="5">
        <f t="shared" ref="V118:V119" si="108">IF(T$12=0,0,T118/T$12)</f>
        <v>5.7467193444184585E-2</v>
      </c>
      <c r="W118" s="1"/>
      <c r="X118" s="1">
        <f t="shared" ref="X118:X119" si="109">+P118-T118</f>
        <v>-34456</v>
      </c>
      <c r="Y118" s="1"/>
      <c r="Z118" s="5">
        <f t="shared" ref="Z118:Z119" si="110">IF(T118=0,0,X118/T118)</f>
        <v>-0.91531186908936346</v>
      </c>
    </row>
    <row r="119" spans="1:26" s="24" customFormat="1" hidden="1" outlineLevel="2" x14ac:dyDescent="0.25">
      <c r="A119" s="26"/>
      <c r="B119" s="11" t="str">
        <f>CONCATENATE("          ", "6274", " - ", "UTILITIES")</f>
        <v xml:space="preserve">          6274 - UTILITIES</v>
      </c>
      <c r="C119" s="11"/>
      <c r="D119" s="7">
        <v>-10954</v>
      </c>
      <c r="E119" s="2"/>
      <c r="F119" s="6">
        <f t="shared" si="103"/>
        <v>-0.19095253834042475</v>
      </c>
      <c r="G119" s="2"/>
      <c r="H119" s="7">
        <v>4150</v>
      </c>
      <c r="I119" s="2"/>
      <c r="J119" s="6">
        <f t="shared" si="104"/>
        <v>3.1118542902347762E-2</v>
      </c>
      <c r="K119" s="2"/>
      <c r="L119" s="7">
        <f t="shared" si="105"/>
        <v>-15104</v>
      </c>
      <c r="M119" s="2"/>
      <c r="N119" s="6">
        <f t="shared" si="106"/>
        <v>-3.6395180722891567</v>
      </c>
      <c r="O119" s="11"/>
      <c r="P119" s="7">
        <v>3188</v>
      </c>
      <c r="Q119" s="2"/>
      <c r="R119" s="6">
        <f t="shared" si="107"/>
        <v>8.2515016283515388E-3</v>
      </c>
      <c r="S119" s="2"/>
      <c r="T119" s="7">
        <v>37644</v>
      </c>
      <c r="U119" s="2"/>
      <c r="V119" s="6">
        <f t="shared" si="108"/>
        <v>5.7467193444184585E-2</v>
      </c>
      <c r="W119" s="2"/>
      <c r="X119" s="7">
        <f t="shared" si="109"/>
        <v>-34456</v>
      </c>
      <c r="Y119" s="2"/>
      <c r="Z119" s="6">
        <f t="shared" si="110"/>
        <v>-0.91531186908936346</v>
      </c>
    </row>
    <row r="120" spans="1:26" s="59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293</v>
      </c>
      <c r="C121" s="10"/>
      <c r="D121" s="4">
        <f>SUM(OSRRefD25x_0)</f>
        <v>3116.44</v>
      </c>
      <c r="E121" s="4"/>
      <c r="F121" s="12">
        <f t="shared" ref="F121:F125" si="111">IF(D$12=0,0,D121/D$12)</f>
        <v>5.4326467827791977E-2</v>
      </c>
      <c r="G121" s="4"/>
      <c r="H121" s="4">
        <f>SUM(OSRRefH25x_0)</f>
        <v>11116</v>
      </c>
      <c r="I121" s="4"/>
      <c r="J121" s="12">
        <f t="shared" ref="J121:J125" si="112">IF(H$12=0,0,H121/H$12)</f>
        <v>8.3352704313854872E-2</v>
      </c>
      <c r="K121" s="4"/>
      <c r="L121" s="4">
        <f t="shared" ref="L121:L125" si="113">+D121-H121</f>
        <v>-7999.5599999999995</v>
      </c>
      <c r="M121" s="4"/>
      <c r="N121" s="12">
        <f t="shared" ref="N121:N125" si="114">IF(H121=0,0,L121/H121)</f>
        <v>-0.71964375674703129</v>
      </c>
      <c r="O121" s="10"/>
      <c r="P121" s="4">
        <f>SUM(OSRRefP25x_0)</f>
        <v>20865.659999999996</v>
      </c>
      <c r="Q121" s="4"/>
      <c r="R121" s="12">
        <f t="shared" ref="R121:R125" si="115">IF(P$12=0,0,P121/P$12)</f>
        <v>5.4006595817637872E-2</v>
      </c>
      <c r="S121" s="4"/>
      <c r="T121" s="4">
        <f>SUM(OSRRefT25x_0)</f>
        <v>51391</v>
      </c>
      <c r="U121" s="4"/>
      <c r="V121" s="12">
        <f t="shared" ref="V121:V125" si="116">IF(T$12=0,0,T121/T$12)</f>
        <v>7.8453313630062957E-2</v>
      </c>
      <c r="W121" s="4"/>
      <c r="X121" s="4">
        <f t="shared" ref="X121:X125" si="117">+P121-T121</f>
        <v>-30525.340000000004</v>
      </c>
      <c r="Y121" s="4"/>
      <c r="Z121" s="12">
        <f t="shared" ref="Z121:Z125" si="118">IF(T121=0,0,X121/T121)</f>
        <v>-0.59398221478469004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--3116.44</f>
        <v>3116.44</v>
      </c>
      <c r="E122" s="2"/>
      <c r="F122" s="19">
        <f t="shared" si="111"/>
        <v>5.4326467827791977E-2</v>
      </c>
      <c r="G122" s="2"/>
      <c r="H122" s="2">
        <v>2970</v>
      </c>
      <c r="I122" s="2"/>
      <c r="J122" s="19">
        <f t="shared" si="112"/>
        <v>2.2270378896379003E-2</v>
      </c>
      <c r="K122" s="2"/>
      <c r="L122" s="2">
        <f t="shared" si="113"/>
        <v>146.44000000000005</v>
      </c>
      <c r="M122" s="2"/>
      <c r="N122" s="19">
        <f t="shared" si="114"/>
        <v>4.9306397306397326E-2</v>
      </c>
      <c r="O122" s="11"/>
      <c r="P122" s="2">
        <f>--4844.49</f>
        <v>4844.49</v>
      </c>
      <c r="Q122" s="2"/>
      <c r="R122" s="19">
        <f t="shared" si="115"/>
        <v>1.2538995333605002E-2</v>
      </c>
      <c r="S122" s="2"/>
      <c r="T122" s="2">
        <v>19642</v>
      </c>
      <c r="U122" s="2"/>
      <c r="V122" s="19">
        <f t="shared" si="116"/>
        <v>2.9985405738781043E-2</v>
      </c>
      <c r="W122" s="2"/>
      <c r="X122" s="2">
        <f t="shared" si="117"/>
        <v>-14797.51</v>
      </c>
      <c r="Y122" s="2"/>
      <c r="Z122" s="19">
        <f t="shared" si="118"/>
        <v>-0.75336065573770494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 t="shared" ref="D123:D125" si="119">0</f>
        <v>0</v>
      </c>
      <c r="E123" s="2"/>
      <c r="F123" s="19">
        <f t="shared" si="111"/>
        <v>0</v>
      </c>
      <c r="G123" s="2"/>
      <c r="H123" s="2">
        <v>6825</v>
      </c>
      <c r="I123" s="2"/>
      <c r="J123" s="19">
        <f t="shared" si="112"/>
        <v>5.1176880797234571E-2</v>
      </c>
      <c r="K123" s="2"/>
      <c r="L123" s="2">
        <f t="shared" si="113"/>
        <v>-6825</v>
      </c>
      <c r="M123" s="2"/>
      <c r="N123" s="19">
        <f t="shared" si="114"/>
        <v>-1</v>
      </c>
      <c r="O123" s="11"/>
      <c r="P123" s="2">
        <f>0</f>
        <v>0</v>
      </c>
      <c r="Q123" s="2"/>
      <c r="R123" s="19">
        <f t="shared" si="115"/>
        <v>0</v>
      </c>
      <c r="S123" s="2"/>
      <c r="T123" s="2">
        <v>22298</v>
      </c>
      <c r="U123" s="2"/>
      <c r="V123" s="19">
        <f t="shared" si="116"/>
        <v>3.4040045675763145E-2</v>
      </c>
      <c r="W123" s="2"/>
      <c r="X123" s="2">
        <f t="shared" si="117"/>
        <v>-22298</v>
      </c>
      <c r="Y123" s="2"/>
      <c r="Z123" s="19">
        <f t="shared" si="118"/>
        <v>-1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 t="shared" si="119"/>
        <v>0</v>
      </c>
      <c r="E124" s="2"/>
      <c r="F124" s="19">
        <f t="shared" si="111"/>
        <v>0</v>
      </c>
      <c r="G124" s="2"/>
      <c r="H124" s="2">
        <v>1321</v>
      </c>
      <c r="I124" s="2"/>
      <c r="J124" s="19">
        <f t="shared" si="112"/>
        <v>9.9054446202413004E-3</v>
      </c>
      <c r="K124" s="2"/>
      <c r="L124" s="2">
        <f t="shared" si="113"/>
        <v>-1321</v>
      </c>
      <c r="M124" s="2"/>
      <c r="N124" s="19">
        <f t="shared" si="114"/>
        <v>-1</v>
      </c>
      <c r="O124" s="11"/>
      <c r="P124" s="2">
        <f>--12882.96</f>
        <v>12882.96</v>
      </c>
      <c r="Q124" s="2"/>
      <c r="R124" s="19">
        <f t="shared" si="115"/>
        <v>3.3344970331865662E-2</v>
      </c>
      <c r="S124" s="2"/>
      <c r="T124" s="2">
        <v>9451</v>
      </c>
      <c r="U124" s="2"/>
      <c r="V124" s="19">
        <f t="shared" si="116"/>
        <v>1.4427862215518767E-2</v>
      </c>
      <c r="W124" s="2"/>
      <c r="X124" s="2">
        <f t="shared" si="117"/>
        <v>3431.9599999999991</v>
      </c>
      <c r="Y124" s="2"/>
      <c r="Z124" s="19">
        <f t="shared" si="118"/>
        <v>0.36313194370966029</v>
      </c>
    </row>
    <row r="125" spans="1:26" s="24" customFormat="1" hidden="1" outlineLevel="1" x14ac:dyDescent="0.25">
      <c r="A125" s="44"/>
      <c r="B125" s="11" t="str">
        <f>CONCATENATE("          ", "9165", " - ", "OTHER INCOME")</f>
        <v xml:space="preserve">          9165 - OTHER INCOME</v>
      </c>
      <c r="C125" s="11"/>
      <c r="D125" s="2">
        <f t="shared" si="119"/>
        <v>0</v>
      </c>
      <c r="E125" s="2"/>
      <c r="F125" s="19">
        <f t="shared" si="111"/>
        <v>0</v>
      </c>
      <c r="G125" s="2"/>
      <c r="H125" s="2"/>
      <c r="I125" s="2"/>
      <c r="J125" s="19">
        <f t="shared" si="112"/>
        <v>0</v>
      </c>
      <c r="K125" s="2"/>
      <c r="L125" s="2">
        <f t="shared" si="113"/>
        <v>0</v>
      </c>
      <c r="M125" s="2"/>
      <c r="N125" s="19">
        <f t="shared" si="114"/>
        <v>0</v>
      </c>
      <c r="O125" s="11"/>
      <c r="P125" s="2">
        <f>--3138.21</f>
        <v>3138.21</v>
      </c>
      <c r="Q125" s="2"/>
      <c r="R125" s="19">
        <f t="shared" si="115"/>
        <v>8.1226301521672151E-3</v>
      </c>
      <c r="S125" s="2"/>
      <c r="T125" s="2"/>
      <c r="U125" s="2"/>
      <c r="V125" s="19">
        <f t="shared" si="116"/>
        <v>0</v>
      </c>
      <c r="W125" s="2"/>
      <c r="X125" s="2">
        <f t="shared" si="117"/>
        <v>3138.21</v>
      </c>
      <c r="Y125" s="2"/>
      <c r="Z125" s="19">
        <f t="shared" si="118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9" t="s">
        <v>277</v>
      </c>
      <c r="C127" s="29"/>
      <c r="D127" s="20">
        <f>+D31-D33+D121</f>
        <v>-45704.900000000016</v>
      </c>
      <c r="E127" s="14"/>
      <c r="F127" s="21">
        <f>IF(D$12=0,0,D127/D$12)</f>
        <v>-0.79673787379909466</v>
      </c>
      <c r="G127" s="14"/>
      <c r="H127" s="20">
        <f>+H31-H33+H121</f>
        <v>-89211.240671479463</v>
      </c>
      <c r="I127" s="14"/>
      <c r="J127" s="21">
        <f>IF(H$12=0,0,H127/H$12)</f>
        <v>-0.66894549884508558</v>
      </c>
      <c r="K127" s="16"/>
      <c r="L127" s="20">
        <f>+D127-H127</f>
        <v>43506.340671479447</v>
      </c>
      <c r="M127" s="16"/>
      <c r="N127" s="21">
        <f>IF(H127=0,0,L127/H127)</f>
        <v>-0.48767778974951842</v>
      </c>
      <c r="O127" s="28"/>
      <c r="P127" s="20">
        <f>+P31-P33+P121</f>
        <v>-840559.66999999993</v>
      </c>
      <c r="Q127" s="14"/>
      <c r="R127" s="21">
        <f>IF(P$12=0,0,P127/P$12)</f>
        <v>-2.175620917732632</v>
      </c>
      <c r="S127" s="14"/>
      <c r="T127" s="20">
        <f>+T31-T33+T121</f>
        <v>-1057849.839386035</v>
      </c>
      <c r="U127" s="14"/>
      <c r="V127" s="21">
        <f>IF(T$12=0,0,T127/T$12)</f>
        <v>-1.6149097161538855</v>
      </c>
      <c r="W127" s="16"/>
      <c r="X127" s="20">
        <f>+P127-T127</f>
        <v>217290.16938603506</v>
      </c>
      <c r="Y127" s="16"/>
      <c r="Z127" s="21">
        <f>IF(T127=0,0,X127/T127)</f>
        <v>-0.2054073851465989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128</v>
      </c>
      <c r="C129" s="10"/>
      <c r="D129" s="4">
        <v>14472.7</v>
      </c>
      <c r="E129" s="4"/>
      <c r="F129" s="12">
        <f>IF(D$12=0,0,D129/D$12)</f>
        <v>0.25229129100232478</v>
      </c>
      <c r="G129" s="4"/>
      <c r="H129" s="4">
        <v>26120</v>
      </c>
      <c r="I129" s="4"/>
      <c r="J129" s="12">
        <f>IF(H$12=0,0,H129/H$12)</f>
        <v>0.19585935918296954</v>
      </c>
      <c r="K129" s="4"/>
      <c r="L129" s="4">
        <f>+D129-H129</f>
        <v>-11647.3</v>
      </c>
      <c r="M129" s="4"/>
      <c r="N129" s="12">
        <f>IF(H129=0,0,L129/H129)</f>
        <v>-0.44591500765696779</v>
      </c>
      <c r="O129" s="10"/>
      <c r="P129" s="4">
        <v>79624.27</v>
      </c>
      <c r="Q129" s="4"/>
      <c r="R129" s="12">
        <f>IF(P$12=0,0,P129/P$12)</f>
        <v>0.20609152872060935</v>
      </c>
      <c r="S129" s="4"/>
      <c r="T129" s="4">
        <v>115839</v>
      </c>
      <c r="U129" s="4"/>
      <c r="V129" s="12">
        <f>IF(T$12=0,0,T129/T$12)</f>
        <v>0.17683939595635156</v>
      </c>
      <c r="W129" s="4"/>
      <c r="X129" s="4">
        <f>+P129-T129</f>
        <v>-36214.729999999996</v>
      </c>
      <c r="Y129" s="4"/>
      <c r="Z129" s="12">
        <f>IF(T129=0,0,X129/T129)</f>
        <v>-0.31262985695663803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126</v>
      </c>
      <c r="C131" s="29"/>
      <c r="D131" s="34">
        <f>+D127-D129</f>
        <v>-60177.60000000002</v>
      </c>
      <c r="E131" s="14"/>
      <c r="F131" s="30">
        <f>IF(D$12=0,0,D131/D$12)</f>
        <v>-1.0490291648014194</v>
      </c>
      <c r="G131" s="14"/>
      <c r="H131" s="34">
        <f>+H127-H129</f>
        <v>-115331.24067147946</v>
      </c>
      <c r="I131" s="14"/>
      <c r="J131" s="30">
        <f>IF(H$12=0,0,H131/H$12)</f>
        <v>-0.86480485802805518</v>
      </c>
      <c r="K131" s="16"/>
      <c r="L131" s="34">
        <f>D131-H131</f>
        <v>55153.640671479443</v>
      </c>
      <c r="M131" s="16"/>
      <c r="N131" s="30">
        <f>IF(H131=0,0,L131/H131)</f>
        <v>-0.47821943430387909</v>
      </c>
      <c r="O131" s="28"/>
      <c r="P131" s="34">
        <f>+P127-P129</f>
        <v>-920183.94</v>
      </c>
      <c r="Q131" s="14"/>
      <c r="R131" s="30">
        <f>IF(P$12=0,0,P131/P$12)</f>
        <v>-2.3817124464532418</v>
      </c>
      <c r="S131" s="14"/>
      <c r="T131" s="34">
        <f>+T127-T129</f>
        <v>-1173688.839386035</v>
      </c>
      <c r="U131" s="14"/>
      <c r="V131" s="30">
        <f>IF(T$12=0,0,T131/T$12)</f>
        <v>-1.7917491121102371</v>
      </c>
      <c r="W131" s="16"/>
      <c r="X131" s="34">
        <f>P131-T131</f>
        <v>253504.89938603505</v>
      </c>
      <c r="Y131" s="16"/>
      <c r="Z131" s="30">
        <f>IF(T131=0,0,X131/T131)</f>
        <v>-0.21598986961369188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294</v>
      </c>
      <c r="C134" s="29"/>
      <c r="D134" s="31">
        <f>SUM(D131:D133)</f>
        <v>-60177.60000000002</v>
      </c>
      <c r="E134" s="14"/>
      <c r="F134" s="35">
        <f>IF(D$12=0,0,D134/D$12)</f>
        <v>-1.0490291648014194</v>
      </c>
      <c r="G134" s="14"/>
      <c r="H134" s="31">
        <f>SUM(H131:H133)</f>
        <v>-115331.24067147946</v>
      </c>
      <c r="I134" s="14"/>
      <c r="J134" s="35">
        <f>IF(H$12=0,0,H134/H$12)</f>
        <v>-0.86480485802805518</v>
      </c>
      <c r="K134" s="16"/>
      <c r="L134" s="31">
        <f>+D134-H134</f>
        <v>55153.640671479443</v>
      </c>
      <c r="M134" s="16"/>
      <c r="N134" s="35">
        <f>IF(H134=0,0,L134/H134)</f>
        <v>-0.47821943430387909</v>
      </c>
      <c r="O134" s="28"/>
      <c r="P134" s="31">
        <f>SUM(P131:P133)</f>
        <v>-920183.94</v>
      </c>
      <c r="Q134" s="14"/>
      <c r="R134" s="35">
        <f>IF(P$12=0,0,P134/P$12)</f>
        <v>-2.3817124464532418</v>
      </c>
      <c r="S134" s="14"/>
      <c r="T134" s="31">
        <f>SUM(T131:T133)</f>
        <v>-1173688.839386035</v>
      </c>
      <c r="U134" s="14"/>
      <c r="V134" s="35">
        <f>IF(T$12=0,0,T134/T$12)</f>
        <v>-1.7917491121102371</v>
      </c>
      <c r="W134" s="16"/>
      <c r="X134" s="31">
        <f>+P134-T134</f>
        <v>253504.89938603505</v>
      </c>
      <c r="Y134" s="16"/>
      <c r="Z134" s="35">
        <f>IF(T134=0,0,X134/T134)</f>
        <v>-0.21598986961369188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>
        <v>44295.96176554398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3" t="s">
        <v>56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4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57264.49</v>
      </c>
      <c r="E12" s="4"/>
      <c r="F12" s="12"/>
      <c r="G12" s="4"/>
      <c r="H12" s="4">
        <f>SUM(OSRRefH13x_0)</f>
        <v>30901</v>
      </c>
      <c r="I12" s="4"/>
      <c r="J12" s="12"/>
      <c r="K12" s="4"/>
      <c r="L12" s="4">
        <f t="shared" ref="L12:L18" si="0">+D12-H12</f>
        <v>26363.489999999998</v>
      </c>
      <c r="M12" s="4"/>
      <c r="N12" s="12">
        <f t="shared" ref="N12:N18" si="1">IF(H12=0,0,L12/H12)</f>
        <v>0.85315976829228823</v>
      </c>
      <c r="O12" s="10"/>
      <c r="P12" s="4">
        <f>SUM(OSRRefP13x_0)</f>
        <v>383532.89999999997</v>
      </c>
      <c r="Q12" s="4"/>
      <c r="R12" s="12"/>
      <c r="S12" s="4"/>
      <c r="T12" s="4">
        <f>SUM(OSRRefT13x_0)</f>
        <v>194251</v>
      </c>
      <c r="U12" s="4"/>
      <c r="V12" s="12"/>
      <c r="W12" s="4"/>
      <c r="X12" s="4">
        <f t="shared" ref="X12:X18" si="2">+P12-T12</f>
        <v>189281.89999999997</v>
      </c>
      <c r="Y12" s="4"/>
      <c r="Z12" s="12">
        <f t="shared" ref="Z12:Z18" si="3">IF(T12=0,0,X12/T12)</f>
        <v>0.97441917930924404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9611</v>
      </c>
      <c r="I13" s="2"/>
      <c r="J13" s="19"/>
      <c r="K13" s="2"/>
      <c r="L13" s="2">
        <f t="shared" si="0"/>
        <v>-9611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60417</v>
      </c>
      <c r="U13" s="2"/>
      <c r="V13" s="19"/>
      <c r="W13" s="2"/>
      <c r="X13" s="2">
        <f t="shared" si="2"/>
        <v>-60417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--2604.58</f>
        <v>2604.58</v>
      </c>
      <c r="E14" s="2"/>
      <c r="F14" s="19"/>
      <c r="G14" s="2"/>
      <c r="H14" s="2"/>
      <c r="I14" s="2"/>
      <c r="J14" s="19"/>
      <c r="K14" s="2"/>
      <c r="L14" s="2">
        <f t="shared" si="0"/>
        <v>2604.58</v>
      </c>
      <c r="M14" s="2"/>
      <c r="N14" s="19">
        <f t="shared" si="1"/>
        <v>0</v>
      </c>
      <c r="O14" s="11"/>
      <c r="P14" s="2">
        <f>--25569.06</f>
        <v>25569.06</v>
      </c>
      <c r="Q14" s="2"/>
      <c r="R14" s="19"/>
      <c r="S14" s="2"/>
      <c r="T14" s="2"/>
      <c r="U14" s="2"/>
      <c r="V14" s="19"/>
      <c r="W14" s="2"/>
      <c r="X14" s="2">
        <f t="shared" si="2"/>
        <v>25569.06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--51782.31</f>
        <v>51782.31</v>
      </c>
      <c r="E15" s="2"/>
      <c r="F15" s="19"/>
      <c r="G15" s="2"/>
      <c r="H15" s="2"/>
      <c r="I15" s="2"/>
      <c r="J15" s="19"/>
      <c r="K15" s="2"/>
      <c r="L15" s="2">
        <f t="shared" si="0"/>
        <v>51782.31</v>
      </c>
      <c r="M15" s="2"/>
      <c r="N15" s="19">
        <f t="shared" si="1"/>
        <v>0</v>
      </c>
      <c r="O15" s="11"/>
      <c r="P15" s="2">
        <f>--331940.11</f>
        <v>331940.11</v>
      </c>
      <c r="Q15" s="2"/>
      <c r="R15" s="19"/>
      <c r="S15" s="2"/>
      <c r="T15" s="2"/>
      <c r="U15" s="2"/>
      <c r="V15" s="19"/>
      <c r="W15" s="2"/>
      <c r="X15" s="2">
        <f t="shared" si="2"/>
        <v>331940.11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--974.91</f>
        <v>974.91</v>
      </c>
      <c r="Q16" s="2"/>
      <c r="R16" s="19"/>
      <c r="S16" s="2"/>
      <c r="T16" s="2"/>
      <c r="U16" s="2"/>
      <c r="V16" s="19"/>
      <c r="W16" s="2"/>
      <c r="X16" s="2">
        <f t="shared" si="2"/>
        <v>974.91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21290</v>
      </c>
      <c r="I17" s="2"/>
      <c r="J17" s="19"/>
      <c r="K17" s="2"/>
      <c r="L17" s="2">
        <f t="shared" si="0"/>
        <v>-21290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133834</v>
      </c>
      <c r="U17" s="2"/>
      <c r="V17" s="19"/>
      <c r="W17" s="2"/>
      <c r="X17" s="2">
        <f t="shared" si="2"/>
        <v>-133834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--2877.6</f>
        <v>2877.6</v>
      </c>
      <c r="E18" s="2"/>
      <c r="F18" s="19"/>
      <c r="G18" s="2"/>
      <c r="H18" s="2"/>
      <c r="I18" s="2"/>
      <c r="J18" s="19"/>
      <c r="K18" s="2"/>
      <c r="L18" s="2">
        <f t="shared" si="0"/>
        <v>2877.6</v>
      </c>
      <c r="M18" s="2"/>
      <c r="N18" s="19">
        <f t="shared" si="1"/>
        <v>0</v>
      </c>
      <c r="O18" s="11"/>
      <c r="P18" s="2">
        <f>--25048.82</f>
        <v>25048.82</v>
      </c>
      <c r="Q18" s="2"/>
      <c r="R18" s="19"/>
      <c r="S18" s="2"/>
      <c r="T18" s="2"/>
      <c r="U18" s="2"/>
      <c r="V18" s="19"/>
      <c r="W18" s="2"/>
      <c r="X18" s="2">
        <f t="shared" si="2"/>
        <v>25048.82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257</v>
      </c>
      <c r="C20" s="10"/>
      <c r="D20" s="4">
        <f>SUM(OSRRefD16x_0)</f>
        <v>-6210.29</v>
      </c>
      <c r="E20" s="4"/>
      <c r="F20" s="12">
        <f t="shared" ref="F20:F23" si="5">IF(D$12=0,0,D20/D$12)</f>
        <v>-0.10844923267455975</v>
      </c>
      <c r="G20" s="4"/>
      <c r="H20" s="4">
        <f>SUM(OSRRefH16x_0)</f>
        <v>9888</v>
      </c>
      <c r="I20" s="4"/>
      <c r="J20" s="12">
        <f t="shared" ref="J20:J23" si="6">IF(H$12=0,0,H20/H$12)</f>
        <v>0.31998964434807936</v>
      </c>
      <c r="K20" s="4"/>
      <c r="L20" s="4">
        <f t="shared" ref="L20:L23" si="7">+D20-H20</f>
        <v>-16098.29</v>
      </c>
      <c r="M20" s="4"/>
      <c r="N20" s="12">
        <f t="shared" ref="N20:N23" si="8">IF(H20=0,0,L20/H20)</f>
        <v>-1.6280633090614887</v>
      </c>
      <c r="O20" s="10"/>
      <c r="P20" s="4">
        <f>SUM(OSRRefP16x_0)</f>
        <v>9643.9500000000007</v>
      </c>
      <c r="Q20" s="4"/>
      <c r="R20" s="12">
        <f t="shared" ref="R20:R23" si="9">IF(P$12=0,0,P20/P$12)</f>
        <v>2.514503970845787E-2</v>
      </c>
      <c r="S20" s="4"/>
      <c r="T20" s="4">
        <f>SUM(OSRRefT16x_0)</f>
        <v>61196</v>
      </c>
      <c r="U20" s="4"/>
      <c r="V20" s="12">
        <f t="shared" ref="V20:V23" si="10">IF(T$12=0,0,T20/T$12)</f>
        <v>0.31503570123191127</v>
      </c>
      <c r="W20" s="4"/>
      <c r="X20" s="4">
        <f t="shared" ref="X20:X23" si="11">+P20-T20</f>
        <v>-51552.05</v>
      </c>
      <c r="Y20" s="4"/>
      <c r="Z20" s="12">
        <f t="shared" ref="Z20:Z23" si="12">IF(T20=0,0,X20/T20)</f>
        <v>-0.84240881756977581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9888</v>
      </c>
      <c r="I21" s="2"/>
      <c r="J21" s="19">
        <f t="shared" si="6"/>
        <v>0.31998964434807936</v>
      </c>
      <c r="K21" s="2"/>
      <c r="L21" s="2">
        <f t="shared" si="7"/>
        <v>-9888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61196</v>
      </c>
      <c r="U21" s="2"/>
      <c r="V21" s="19">
        <f t="shared" si="10"/>
        <v>0.31503570123191127</v>
      </c>
      <c r="W21" s="2"/>
      <c r="X21" s="2">
        <f t="shared" si="11"/>
        <v>-61196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-5711.29</v>
      </c>
      <c r="E22" s="2"/>
      <c r="F22" s="19">
        <f t="shared" si="5"/>
        <v>-9.9735280974300136E-2</v>
      </c>
      <c r="G22" s="2"/>
      <c r="H22" s="2"/>
      <c r="I22" s="2"/>
      <c r="J22" s="19">
        <f t="shared" si="6"/>
        <v>0</v>
      </c>
      <c r="K22" s="2"/>
      <c r="L22" s="2">
        <f t="shared" si="7"/>
        <v>-5711.29</v>
      </c>
      <c r="M22" s="2"/>
      <c r="N22" s="19">
        <f t="shared" si="8"/>
        <v>0</v>
      </c>
      <c r="O22" s="11"/>
      <c r="P22" s="2">
        <v>4393.87</v>
      </c>
      <c r="Q22" s="2"/>
      <c r="R22" s="19">
        <f t="shared" si="9"/>
        <v>1.1456305313051371E-2</v>
      </c>
      <c r="S22" s="2"/>
      <c r="T22" s="2"/>
      <c r="U22" s="2"/>
      <c r="V22" s="19">
        <f t="shared" si="10"/>
        <v>0</v>
      </c>
      <c r="W22" s="2"/>
      <c r="X22" s="2">
        <f t="shared" si="11"/>
        <v>4393.87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-499</v>
      </c>
      <c r="E23" s="2"/>
      <c r="F23" s="19">
        <f t="shared" si="5"/>
        <v>-8.7139517002596204E-3</v>
      </c>
      <c r="G23" s="2"/>
      <c r="H23" s="2"/>
      <c r="I23" s="2"/>
      <c r="J23" s="19">
        <f t="shared" si="6"/>
        <v>0</v>
      </c>
      <c r="K23" s="2"/>
      <c r="L23" s="2">
        <f t="shared" si="7"/>
        <v>-499</v>
      </c>
      <c r="M23" s="2"/>
      <c r="N23" s="19">
        <f t="shared" si="8"/>
        <v>0</v>
      </c>
      <c r="O23" s="11"/>
      <c r="P23" s="2">
        <v>5250.08</v>
      </c>
      <c r="Q23" s="2"/>
      <c r="R23" s="19">
        <f t="shared" si="9"/>
        <v>1.3688734395406497E-2</v>
      </c>
      <c r="S23" s="2"/>
      <c r="T23" s="2"/>
      <c r="U23" s="2"/>
      <c r="V23" s="19">
        <f t="shared" si="10"/>
        <v>0</v>
      </c>
      <c r="W23" s="2"/>
      <c r="X23" s="2">
        <f t="shared" si="11"/>
        <v>5250.08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108</v>
      </c>
      <c r="C25" s="29"/>
      <c r="D25" s="20">
        <f>D12-D20</f>
        <v>63474.78</v>
      </c>
      <c r="E25" s="14"/>
      <c r="F25" s="21">
        <f>IF(D$12=0,0,D25/D$12)</f>
        <v>1.1084492326745599</v>
      </c>
      <c r="G25" s="14"/>
      <c r="H25" s="20">
        <f>H12-H20</f>
        <v>21013</v>
      </c>
      <c r="I25" s="14"/>
      <c r="J25" s="21">
        <f>IF(H$12=0,0,H25/H$12)</f>
        <v>0.68001035565192069</v>
      </c>
      <c r="K25" s="16"/>
      <c r="L25" s="20">
        <f>+D25-H25</f>
        <v>42461.78</v>
      </c>
      <c r="M25" s="16"/>
      <c r="N25" s="21">
        <f>IF(H25=0,0,L25/H25)</f>
        <v>2.0207385903964212</v>
      </c>
      <c r="O25" s="28"/>
      <c r="P25" s="20">
        <f>P12-P20</f>
        <v>373888.94999999995</v>
      </c>
      <c r="Q25" s="14"/>
      <c r="R25" s="21">
        <f>IF(P$12=0,0,P25/P$12)</f>
        <v>0.97485496029154206</v>
      </c>
      <c r="S25" s="14"/>
      <c r="T25" s="20">
        <f>T12-T20</f>
        <v>133055</v>
      </c>
      <c r="U25" s="14"/>
      <c r="V25" s="21">
        <f>IF(T$12=0,0,T25/T$12)</f>
        <v>0.68496429876808873</v>
      </c>
      <c r="W25" s="16"/>
      <c r="X25" s="20">
        <f>+P25-T25</f>
        <v>240833.94999999995</v>
      </c>
      <c r="Y25" s="16"/>
      <c r="Z25" s="21">
        <f>IF(T25=0,0,X25/T25)</f>
        <v>1.8100330690316031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295</v>
      </c>
      <c r="C27" s="10"/>
      <c r="D27" s="22">
        <f>SUM(OSRRefD22x_0)</f>
        <v>98262.280000000028</v>
      </c>
      <c r="E27" s="22"/>
      <c r="F27" s="32">
        <f t="shared" ref="F27:F37" si="13">IF(D$12=0,0,D27/D$12)</f>
        <v>1.715937398551878</v>
      </c>
      <c r="G27" s="22"/>
      <c r="H27" s="22">
        <f>SUM(OSRRefH22x_0)</f>
        <v>110951.92486457949</v>
      </c>
      <c r="I27" s="22"/>
      <c r="J27" s="32">
        <f t="shared" ref="J27:J37" si="14">IF(H$12=0,0,H27/H$12)</f>
        <v>3.59056098069899</v>
      </c>
      <c r="K27" s="4"/>
      <c r="L27" s="22">
        <f t="shared" ref="L27:L37" si="15">+D27-H27</f>
        <v>-12689.644864579459</v>
      </c>
      <c r="M27" s="4"/>
      <c r="N27" s="32">
        <f t="shared" ref="N27:N37" si="16">IF(H27=0,0,L27/H27)</f>
        <v>-0.11437065990578886</v>
      </c>
      <c r="O27" s="10"/>
      <c r="P27" s="22">
        <f>SUM(OSRRefP22x_0)</f>
        <v>992385.04</v>
      </c>
      <c r="Q27" s="22"/>
      <c r="R27" s="32">
        <f t="shared" ref="R27:R37" si="17">IF(P$12=0,0,P27/P$12)</f>
        <v>2.5874834727346729</v>
      </c>
      <c r="S27" s="22"/>
      <c r="T27" s="22">
        <f>SUM(OSRRefT22x_0)</f>
        <v>993898.49597303453</v>
      </c>
      <c r="U27" s="22"/>
      <c r="V27" s="32">
        <f t="shared" ref="V27:V37" si="18">IF(T$12=0,0,T27/T$12)</f>
        <v>5.1165682337441485</v>
      </c>
      <c r="W27" s="4"/>
      <c r="X27" s="22">
        <f t="shared" ref="X27:X37" si="19">+P27-T27</f>
        <v>-1513.4559730344918</v>
      </c>
      <c r="Y27" s="4"/>
      <c r="Z27" s="32">
        <f t="shared" ref="Z27:Z37" si="20">IF(T27=0,0,X27/T27)</f>
        <v>-1.522747020109741E-3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18745.780000000002</v>
      </c>
      <c r="E28" s="1"/>
      <c r="F28" s="5">
        <f t="shared" si="13"/>
        <v>0.32735435171080723</v>
      </c>
      <c r="G28" s="1"/>
      <c r="H28" s="1">
        <f>SUM(OSRRefH22_0x_0)</f>
        <v>13815.16583893847</v>
      </c>
      <c r="I28" s="1"/>
      <c r="J28" s="5">
        <f t="shared" si="14"/>
        <v>0.44707827704405911</v>
      </c>
      <c r="K28" s="1"/>
      <c r="L28" s="1">
        <f t="shared" si="15"/>
        <v>4930.6141610615323</v>
      </c>
      <c r="M28" s="1"/>
      <c r="N28" s="5">
        <f t="shared" si="16"/>
        <v>0.35689865894801237</v>
      </c>
      <c r="O28" s="13"/>
      <c r="P28" s="1">
        <f>SUM(OSRRefP22_0x_0)</f>
        <v>186815.97</v>
      </c>
      <c r="Q28" s="1"/>
      <c r="R28" s="5">
        <f t="shared" si="17"/>
        <v>0.48709242414405651</v>
      </c>
      <c r="S28" s="1"/>
      <c r="T28" s="1">
        <f>SUM(OSRRefT22_0x_0)</f>
        <v>124274.4392730346</v>
      </c>
      <c r="U28" s="1"/>
      <c r="V28" s="5">
        <f t="shared" si="18"/>
        <v>0.63976215964414396</v>
      </c>
      <c r="W28" s="1"/>
      <c r="X28" s="1">
        <f t="shared" si="19"/>
        <v>62541.5307269654</v>
      </c>
      <c r="Y28" s="1"/>
      <c r="Z28" s="5">
        <f t="shared" si="20"/>
        <v>0.5032533728803219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7">
        <v>2329.63</v>
      </c>
      <c r="E29" s="2"/>
      <c r="F29" s="6">
        <f t="shared" si="13"/>
        <v>4.0681930459871382E-2</v>
      </c>
      <c r="G29" s="2"/>
      <c r="H29" s="7">
        <v>1485.7389381692301</v>
      </c>
      <c r="I29" s="2"/>
      <c r="J29" s="6">
        <f t="shared" si="14"/>
        <v>4.8080610276988775E-2</v>
      </c>
      <c r="K29" s="2"/>
      <c r="L29" s="7">
        <f t="shared" si="15"/>
        <v>843.89106183077001</v>
      </c>
      <c r="M29" s="2"/>
      <c r="N29" s="6">
        <f t="shared" si="16"/>
        <v>0.56799417458267376</v>
      </c>
      <c r="O29" s="11"/>
      <c r="P29" s="7">
        <v>22070.04</v>
      </c>
      <c r="Q29" s="2"/>
      <c r="R29" s="6">
        <f t="shared" si="17"/>
        <v>5.7544059453569704E-2</v>
      </c>
      <c r="S29" s="2"/>
      <c r="T29" s="7">
        <v>14507.122845149999</v>
      </c>
      <c r="U29" s="2"/>
      <c r="V29" s="6">
        <f t="shared" si="18"/>
        <v>7.4682358624408626E-2</v>
      </c>
      <c r="W29" s="2"/>
      <c r="X29" s="7">
        <f t="shared" si="19"/>
        <v>7562.9171548500017</v>
      </c>
      <c r="Y29" s="2"/>
      <c r="Z29" s="6">
        <f t="shared" si="20"/>
        <v>0.52132440288657411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7">
        <v>611.25</v>
      </c>
      <c r="E30" s="2"/>
      <c r="F30" s="6">
        <f t="shared" si="13"/>
        <v>1.0674154262091569E-2</v>
      </c>
      <c r="G30" s="2"/>
      <c r="H30" s="7">
        <v>931.91066353846099</v>
      </c>
      <c r="I30" s="2"/>
      <c r="J30" s="6">
        <f t="shared" si="14"/>
        <v>3.0157945164831591E-2</v>
      </c>
      <c r="K30" s="2"/>
      <c r="L30" s="7">
        <f t="shared" si="15"/>
        <v>-320.66066353846099</v>
      </c>
      <c r="M30" s="2"/>
      <c r="N30" s="6">
        <f t="shared" si="16"/>
        <v>-0.34408948849336457</v>
      </c>
      <c r="O30" s="11"/>
      <c r="P30" s="7">
        <v>6403.47</v>
      </c>
      <c r="Q30" s="2"/>
      <c r="R30" s="6">
        <f t="shared" si="17"/>
        <v>1.6696012258661515E-2</v>
      </c>
      <c r="S30" s="2"/>
      <c r="T30" s="7">
        <v>5868.0309434999999</v>
      </c>
      <c r="U30" s="2"/>
      <c r="V30" s="6">
        <f t="shared" si="18"/>
        <v>3.0208497992288329E-2</v>
      </c>
      <c r="W30" s="2"/>
      <c r="X30" s="7">
        <f t="shared" si="19"/>
        <v>535.43905650000033</v>
      </c>
      <c r="Y30" s="2"/>
      <c r="Z30" s="6">
        <f t="shared" si="20"/>
        <v>9.1246801807189609E-2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7">
        <v>8554.93</v>
      </c>
      <c r="E31" s="2"/>
      <c r="F31" s="6">
        <f t="shared" si="13"/>
        <v>0.14939328019860126</v>
      </c>
      <c r="G31" s="2"/>
      <c r="H31" s="7">
        <v>7261.1538461538503</v>
      </c>
      <c r="I31" s="2"/>
      <c r="J31" s="6">
        <f t="shared" si="14"/>
        <v>0.23498119304080289</v>
      </c>
      <c r="K31" s="2"/>
      <c r="L31" s="7">
        <f t="shared" si="15"/>
        <v>1293.77615384615</v>
      </c>
      <c r="M31" s="2"/>
      <c r="N31" s="6">
        <f t="shared" si="16"/>
        <v>0.17817776365273522</v>
      </c>
      <c r="O31" s="11"/>
      <c r="P31" s="7">
        <v>86596.64</v>
      </c>
      <c r="Q31" s="2"/>
      <c r="R31" s="6">
        <f t="shared" si="17"/>
        <v>0.22578673172497069</v>
      </c>
      <c r="S31" s="2"/>
      <c r="T31" s="7">
        <v>66434.884615384595</v>
      </c>
      <c r="U31" s="2"/>
      <c r="V31" s="6">
        <f t="shared" si="18"/>
        <v>0.34200536736173609</v>
      </c>
      <c r="W31" s="2"/>
      <c r="X31" s="7">
        <f t="shared" si="19"/>
        <v>20161.755384615404</v>
      </c>
      <c r="Y31" s="2"/>
      <c r="Z31" s="6">
        <f t="shared" si="20"/>
        <v>0.30348145407851684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7">
        <v>78.73</v>
      </c>
      <c r="E32" s="2"/>
      <c r="F32" s="6">
        <f t="shared" si="13"/>
        <v>1.3748485317864527E-3</v>
      </c>
      <c r="G32" s="2"/>
      <c r="H32" s="7">
        <v>83.045587999999995</v>
      </c>
      <c r="I32" s="2"/>
      <c r="J32" s="6">
        <f t="shared" si="14"/>
        <v>2.6874725089802917E-3</v>
      </c>
      <c r="K32" s="2"/>
      <c r="L32" s="7">
        <f t="shared" si="15"/>
        <v>-4.3155879999999911</v>
      </c>
      <c r="M32" s="2"/>
      <c r="N32" s="6">
        <f t="shared" si="16"/>
        <v>-5.1966493391557317E-2</v>
      </c>
      <c r="O32" s="11"/>
      <c r="P32" s="7">
        <v>833.25</v>
      </c>
      <c r="Q32" s="2"/>
      <c r="R32" s="6">
        <f t="shared" si="17"/>
        <v>2.1725645961532896E-3</v>
      </c>
      <c r="S32" s="2"/>
      <c r="T32" s="7">
        <v>614.65823899999998</v>
      </c>
      <c r="U32" s="2"/>
      <c r="V32" s="6">
        <f t="shared" si="18"/>
        <v>3.1642474890734153E-3</v>
      </c>
      <c r="W32" s="2"/>
      <c r="X32" s="7">
        <f t="shared" si="19"/>
        <v>218.59176100000002</v>
      </c>
      <c r="Y32" s="2"/>
      <c r="Z32" s="6">
        <f t="shared" si="20"/>
        <v>0.35563138526481219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7">
        <v>2783.65</v>
      </c>
      <c r="E33" s="2"/>
      <c r="F33" s="6">
        <f t="shared" si="13"/>
        <v>4.8610404109073531E-2</v>
      </c>
      <c r="G33" s="2"/>
      <c r="H33" s="7">
        <v>1386.13172615385</v>
      </c>
      <c r="I33" s="2"/>
      <c r="J33" s="6">
        <f t="shared" si="14"/>
        <v>4.4857180225683635E-2</v>
      </c>
      <c r="K33" s="2"/>
      <c r="L33" s="7">
        <f t="shared" si="15"/>
        <v>1397.5182738461501</v>
      </c>
      <c r="M33" s="2"/>
      <c r="N33" s="6">
        <f t="shared" si="16"/>
        <v>1.0082146216535242</v>
      </c>
      <c r="O33" s="11"/>
      <c r="P33" s="7">
        <v>29710.1</v>
      </c>
      <c r="Q33" s="2"/>
      <c r="R33" s="6">
        <f t="shared" si="17"/>
        <v>7.7464280117820403E-2</v>
      </c>
      <c r="S33" s="2"/>
      <c r="T33" s="7">
        <v>13514.78433</v>
      </c>
      <c r="U33" s="2"/>
      <c r="V33" s="6">
        <f t="shared" si="18"/>
        <v>6.9573821138629921E-2</v>
      </c>
      <c r="W33" s="2"/>
      <c r="X33" s="7">
        <f t="shared" si="19"/>
        <v>16195.315669999998</v>
      </c>
      <c r="Y33" s="2"/>
      <c r="Z33" s="6">
        <f t="shared" si="20"/>
        <v>1.1983406671203607</v>
      </c>
    </row>
    <row r="34" spans="1:26" s="24" customFormat="1" hidden="1" outlineLevel="2" x14ac:dyDescent="0.25">
      <c r="A34" s="26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3"/>
        <v>0</v>
      </c>
      <c r="G34" s="2"/>
      <c r="H34" s="7">
        <v>0</v>
      </c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/>
      <c r="Q34" s="2"/>
      <c r="R34" s="6">
        <f t="shared" si="17"/>
        <v>0</v>
      </c>
      <c r="S34" s="2"/>
      <c r="T34" s="7">
        <v>0</v>
      </c>
      <c r="U34" s="2"/>
      <c r="V34" s="6">
        <f t="shared" si="18"/>
        <v>0</v>
      </c>
      <c r="W34" s="2"/>
      <c r="X34" s="7">
        <f t="shared" si="19"/>
        <v>0</v>
      </c>
      <c r="Y34" s="2"/>
      <c r="Z34" s="6">
        <f t="shared" si="20"/>
        <v>0</v>
      </c>
    </row>
    <row r="35" spans="1:26" s="24" customFormat="1" hidden="1" outlineLevel="2" x14ac:dyDescent="0.25">
      <c r="A35" s="26"/>
      <c r="B35" s="11" t="str">
        <f>CONCATENATE("          ", "6118", " - ", "VACATION")</f>
        <v xml:space="preserve">          6118 - VACATION</v>
      </c>
      <c r="C35" s="11"/>
      <c r="D35" s="7">
        <v>2462.92</v>
      </c>
      <c r="E35" s="2"/>
      <c r="F35" s="6">
        <f t="shared" si="13"/>
        <v>4.3009550945097043E-2</v>
      </c>
      <c r="G35" s="2"/>
      <c r="H35" s="7">
        <v>1524.1520769230799</v>
      </c>
      <c r="I35" s="2"/>
      <c r="J35" s="6">
        <f t="shared" si="14"/>
        <v>4.9323713696096561E-2</v>
      </c>
      <c r="K35" s="2"/>
      <c r="L35" s="7">
        <f t="shared" si="15"/>
        <v>938.76792307692017</v>
      </c>
      <c r="M35" s="2"/>
      <c r="N35" s="6">
        <f t="shared" si="16"/>
        <v>0.61592798861126863</v>
      </c>
      <c r="O35" s="11"/>
      <c r="P35" s="7">
        <v>23434.92</v>
      </c>
      <c r="Q35" s="2"/>
      <c r="R35" s="6">
        <f t="shared" si="17"/>
        <v>6.1102763283149897E-2</v>
      </c>
      <c r="S35" s="2"/>
      <c r="T35" s="7">
        <v>14748.212750000001</v>
      </c>
      <c r="U35" s="2"/>
      <c r="V35" s="6">
        <f t="shared" si="18"/>
        <v>7.5923484306387096E-2</v>
      </c>
      <c r="W35" s="2"/>
      <c r="X35" s="7">
        <f t="shared" si="19"/>
        <v>8686.7072499999977</v>
      </c>
      <c r="Y35" s="2"/>
      <c r="Z35" s="6">
        <f t="shared" si="20"/>
        <v>0.58900067399692191</v>
      </c>
    </row>
    <row r="36" spans="1:26" s="24" customFormat="1" hidden="1" outlineLevel="2" x14ac:dyDescent="0.25">
      <c r="A36" s="26"/>
      <c r="B36" s="11" t="str">
        <f>CONCATENATE("          ", "6119", " - ", "SICK LEAVE")</f>
        <v xml:space="preserve">          6119 - SICK LEAVE</v>
      </c>
      <c r="C36" s="11"/>
      <c r="D36" s="7">
        <v>1382.86</v>
      </c>
      <c r="E36" s="2"/>
      <c r="F36" s="6">
        <f t="shared" si="13"/>
        <v>2.4148647792026086E-2</v>
      </c>
      <c r="G36" s="2"/>
      <c r="H36" s="7">
        <v>793.03300000000002</v>
      </c>
      <c r="I36" s="2"/>
      <c r="J36" s="6">
        <f t="shared" si="14"/>
        <v>2.5663667842464644E-2</v>
      </c>
      <c r="K36" s="2"/>
      <c r="L36" s="7">
        <f t="shared" si="15"/>
        <v>589.82699999999988</v>
      </c>
      <c r="M36" s="2"/>
      <c r="N36" s="6">
        <f t="shared" si="16"/>
        <v>0.74376097842082223</v>
      </c>
      <c r="O36" s="11"/>
      <c r="P36" s="7">
        <v>13508.14</v>
      </c>
      <c r="Q36" s="2"/>
      <c r="R36" s="6">
        <f t="shared" si="17"/>
        <v>3.5220290097668285E-2</v>
      </c>
      <c r="S36" s="2"/>
      <c r="T36" s="7">
        <v>5436.7455499999996</v>
      </c>
      <c r="U36" s="2"/>
      <c r="V36" s="6">
        <f t="shared" si="18"/>
        <v>2.7988249996139015E-2</v>
      </c>
      <c r="W36" s="2"/>
      <c r="X36" s="7">
        <f t="shared" si="19"/>
        <v>8071.3944499999998</v>
      </c>
      <c r="Y36" s="2"/>
      <c r="Z36" s="6">
        <f t="shared" si="20"/>
        <v>1.4846003690571836</v>
      </c>
    </row>
    <row r="37" spans="1:26" s="24" customFormat="1" hidden="1" outlineLevel="2" x14ac:dyDescent="0.25">
      <c r="A37" s="26"/>
      <c r="B37" s="11" t="str">
        <f>CONCATENATE("          ", "6156", " - ", "EMPLOYEE MEALS")</f>
        <v xml:space="preserve">          6156 - EMPLOYEE MEALS</v>
      </c>
      <c r="C37" s="11"/>
      <c r="D37" s="7">
        <v>541.80999999999995</v>
      </c>
      <c r="E37" s="2"/>
      <c r="F37" s="6">
        <f t="shared" si="13"/>
        <v>9.4615354122598479E-3</v>
      </c>
      <c r="G37" s="2"/>
      <c r="H37" s="7">
        <v>350</v>
      </c>
      <c r="I37" s="2"/>
      <c r="J37" s="6">
        <f t="shared" si="14"/>
        <v>1.1326494288210738E-2</v>
      </c>
      <c r="K37" s="2"/>
      <c r="L37" s="7">
        <f t="shared" si="15"/>
        <v>191.80999999999995</v>
      </c>
      <c r="M37" s="2"/>
      <c r="N37" s="6">
        <f t="shared" si="16"/>
        <v>0.54802857142857131</v>
      </c>
      <c r="O37" s="11"/>
      <c r="P37" s="7">
        <v>4259.41</v>
      </c>
      <c r="Q37" s="2"/>
      <c r="R37" s="6">
        <f t="shared" si="17"/>
        <v>1.1105722612062746E-2</v>
      </c>
      <c r="S37" s="2"/>
      <c r="T37" s="7">
        <v>3150</v>
      </c>
      <c r="U37" s="2"/>
      <c r="V37" s="6">
        <f t="shared" si="18"/>
        <v>1.6216132735481413E-2</v>
      </c>
      <c r="W37" s="2"/>
      <c r="X37" s="7">
        <f t="shared" si="19"/>
        <v>1109.4099999999999</v>
      </c>
      <c r="Y37" s="2"/>
      <c r="Z37" s="6">
        <f t="shared" si="20"/>
        <v>0.35219365079365073</v>
      </c>
    </row>
    <row r="38" spans="1:26" s="25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27420.030000000002</v>
      </c>
      <c r="E38" s="1"/>
      <c r="F38" s="5">
        <f t="shared" ref="F38:F48" si="21">IF(D$12=0,0,D38/D$12)</f>
        <v>0.47883129667268498</v>
      </c>
      <c r="G38" s="1"/>
      <c r="H38" s="1">
        <f>SUM(OSRRefH22_1x_0)</f>
        <v>29623.42569230769</v>
      </c>
      <c r="I38" s="1"/>
      <c r="J38" s="5">
        <f t="shared" ref="J38:J48" si="22">IF(H$12=0,0,H38/H$12)</f>
        <v>0.95865589114616645</v>
      </c>
      <c r="K38" s="1"/>
      <c r="L38" s="1">
        <f t="shared" ref="L38:L48" si="23">+D38-H38</f>
        <v>-2203.3956923076876</v>
      </c>
      <c r="M38" s="1"/>
      <c r="N38" s="5">
        <f t="shared" ref="N38:N48" si="24">IF(H38=0,0,L38/H38)</f>
        <v>-7.4380178551727835E-2</v>
      </c>
      <c r="O38" s="13"/>
      <c r="P38" s="1">
        <f>SUM(OSRRefP22_1x_0)</f>
        <v>260924.32</v>
      </c>
      <c r="Q38" s="1"/>
      <c r="R38" s="5">
        <f t="shared" ref="R38:R48" si="25">IF(P$12=0,0,P38/P$12)</f>
        <v>0.68031795968481457</v>
      </c>
      <c r="S38" s="1"/>
      <c r="T38" s="1">
        <f>SUM(OSRRefT22_1x_0)</f>
        <v>216222.0566999999</v>
      </c>
      <c r="U38" s="1"/>
      <c r="V38" s="5">
        <f t="shared" ref="V38:V48" si="26">IF(T$12=0,0,T38/T$12)</f>
        <v>1.11310653072571</v>
      </c>
      <c r="W38" s="1"/>
      <c r="X38" s="1">
        <f t="shared" ref="X38:X48" si="27">+P38-T38</f>
        <v>44702.263300000108</v>
      </c>
      <c r="Y38" s="1"/>
      <c r="Z38" s="5">
        <f t="shared" ref="Z38:Z48" si="28">IF(T38=0,0,X38/T38)</f>
        <v>0.20674238318814461</v>
      </c>
    </row>
    <row r="39" spans="1:26" s="24" customFormat="1" hidden="1" outlineLevel="2" x14ac:dyDescent="0.25">
      <c r="A39" s="26"/>
      <c r="B39" s="11" t="str">
        <f>CONCATENATE("          ", "6001", " - ", "ADMINISTRATIVE SALARIES")</f>
        <v xml:space="preserve">          6001 - ADMINISTRATIVE SALARIES</v>
      </c>
      <c r="C39" s="11"/>
      <c r="D39" s="7">
        <v>10037.35</v>
      </c>
      <c r="E39" s="2"/>
      <c r="F39" s="6">
        <f t="shared" si="21"/>
        <v>0.1752805272517052</v>
      </c>
      <c r="G39" s="2"/>
      <c r="H39" s="7">
        <v>9962.3076923076896</v>
      </c>
      <c r="I39" s="2"/>
      <c r="J39" s="6">
        <f t="shared" si="22"/>
        <v>0.32239434621234553</v>
      </c>
      <c r="K39" s="2"/>
      <c r="L39" s="7">
        <f t="shared" si="23"/>
        <v>75.042307692310715</v>
      </c>
      <c r="M39" s="2"/>
      <c r="N39" s="6">
        <f t="shared" si="24"/>
        <v>7.5326229634780292E-3</v>
      </c>
      <c r="O39" s="11"/>
      <c r="P39" s="7">
        <v>97219.25</v>
      </c>
      <c r="Q39" s="2"/>
      <c r="R39" s="6">
        <f t="shared" si="25"/>
        <v>0.25348346908439928</v>
      </c>
      <c r="S39" s="2"/>
      <c r="T39" s="7">
        <v>97132.499999999898</v>
      </c>
      <c r="U39" s="2"/>
      <c r="V39" s="6">
        <f t="shared" si="26"/>
        <v>0.50003603585052281</v>
      </c>
      <c r="W39" s="2"/>
      <c r="X39" s="7">
        <f t="shared" si="27"/>
        <v>86.750000000101863</v>
      </c>
      <c r="Y39" s="2"/>
      <c r="Z39" s="6">
        <f t="shared" si="28"/>
        <v>8.9310992716240144E-4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7">
        <v>14052.4</v>
      </c>
      <c r="E40" s="2"/>
      <c r="F40" s="6">
        <f t="shared" si="21"/>
        <v>0.24539465906358374</v>
      </c>
      <c r="G40" s="2"/>
      <c r="H40" s="7">
        <v>4543.7219999999998</v>
      </c>
      <c r="I40" s="2"/>
      <c r="J40" s="6">
        <f t="shared" si="22"/>
        <v>0.14704126080062133</v>
      </c>
      <c r="K40" s="2"/>
      <c r="L40" s="7">
        <f t="shared" si="23"/>
        <v>9508.6779999999999</v>
      </c>
      <c r="M40" s="2"/>
      <c r="N40" s="6">
        <f t="shared" si="24"/>
        <v>2.0927068161300362</v>
      </c>
      <c r="O40" s="11"/>
      <c r="P40" s="7">
        <v>135312.99</v>
      </c>
      <c r="Q40" s="2"/>
      <c r="R40" s="6">
        <f t="shared" si="25"/>
        <v>0.35280673444181715</v>
      </c>
      <c r="S40" s="2"/>
      <c r="T40" s="7">
        <v>44301.289499999999</v>
      </c>
      <c r="U40" s="2"/>
      <c r="V40" s="6">
        <f t="shared" si="26"/>
        <v>0.22806209234444094</v>
      </c>
      <c r="W40" s="2"/>
      <c r="X40" s="7">
        <f t="shared" si="27"/>
        <v>91011.700499999992</v>
      </c>
      <c r="Y40" s="2"/>
      <c r="Z40" s="6">
        <f t="shared" si="28"/>
        <v>2.0543803922456929</v>
      </c>
    </row>
    <row r="41" spans="1:26" s="24" customFormat="1" hidden="1" outlineLevel="2" x14ac:dyDescent="0.25">
      <c r="A41" s="26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7">
        <v>2789.95</v>
      </c>
      <c r="E42" s="2"/>
      <c r="F42" s="6">
        <f t="shared" si="21"/>
        <v>4.872041993214294E-2</v>
      </c>
      <c r="G42" s="2"/>
      <c r="H42" s="7">
        <v>2966.4</v>
      </c>
      <c r="I42" s="2"/>
      <c r="J42" s="6">
        <f t="shared" si="22"/>
        <v>9.5996893304423805E-2</v>
      </c>
      <c r="K42" s="2"/>
      <c r="L42" s="7">
        <f t="shared" si="23"/>
        <v>-176.45000000000027</v>
      </c>
      <c r="M42" s="2"/>
      <c r="N42" s="6">
        <f t="shared" si="24"/>
        <v>-5.9482874865156507E-2</v>
      </c>
      <c r="O42" s="11"/>
      <c r="P42" s="7">
        <v>24559.33</v>
      </c>
      <c r="Q42" s="2"/>
      <c r="R42" s="6">
        <f t="shared" si="25"/>
        <v>6.4034480483942849E-2</v>
      </c>
      <c r="S42" s="2"/>
      <c r="T42" s="7">
        <v>26901.54</v>
      </c>
      <c r="U42" s="2"/>
      <c r="V42" s="6">
        <f t="shared" si="26"/>
        <v>0.13848855346948022</v>
      </c>
      <c r="W42" s="2"/>
      <c r="X42" s="7">
        <f t="shared" si="27"/>
        <v>-2342.2099999999991</v>
      </c>
      <c r="Y42" s="2"/>
      <c r="Z42" s="6">
        <f t="shared" si="28"/>
        <v>-8.7066019268785322E-2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7">
        <v>172.33</v>
      </c>
      <c r="E43" s="2"/>
      <c r="F43" s="6">
        <f t="shared" si="21"/>
        <v>3.0093693316748304E-3</v>
      </c>
      <c r="G43" s="2"/>
      <c r="H43" s="7">
        <v>6839.6639999999998</v>
      </c>
      <c r="I43" s="2"/>
      <c r="J43" s="6">
        <f t="shared" si="22"/>
        <v>0.22134118636937314</v>
      </c>
      <c r="K43" s="2"/>
      <c r="L43" s="7">
        <f t="shared" si="23"/>
        <v>-6667.3339999999998</v>
      </c>
      <c r="M43" s="2"/>
      <c r="N43" s="6">
        <f t="shared" si="24"/>
        <v>-0.97480431787292476</v>
      </c>
      <c r="O43" s="11"/>
      <c r="P43" s="7">
        <v>2909.04</v>
      </c>
      <c r="Q43" s="2"/>
      <c r="R43" s="6">
        <f t="shared" si="25"/>
        <v>7.5848512604785668E-3</v>
      </c>
      <c r="S43" s="2"/>
      <c r="T43" s="7">
        <v>25376.364000000001</v>
      </c>
      <c r="U43" s="2"/>
      <c r="V43" s="6">
        <f t="shared" si="26"/>
        <v>0.130636979989807</v>
      </c>
      <c r="W43" s="2"/>
      <c r="X43" s="7">
        <f t="shared" si="27"/>
        <v>-22467.324000000001</v>
      </c>
      <c r="Y43" s="2"/>
      <c r="Z43" s="6">
        <f t="shared" si="28"/>
        <v>-0.88536419165488012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7">
        <v>368</v>
      </c>
      <c r="E45" s="2"/>
      <c r="F45" s="6">
        <f t="shared" si="21"/>
        <v>6.4263210935782368E-3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368</v>
      </c>
      <c r="M45" s="2"/>
      <c r="N45" s="6">
        <f t="shared" si="24"/>
        <v>0</v>
      </c>
      <c r="O45" s="11"/>
      <c r="P45" s="7">
        <v>923.71</v>
      </c>
      <c r="Q45" s="2"/>
      <c r="R45" s="6">
        <f t="shared" si="25"/>
        <v>2.4084244141767243E-3</v>
      </c>
      <c r="S45" s="2"/>
      <c r="T45" s="7">
        <v>2446.34</v>
      </c>
      <c r="U45" s="2"/>
      <c r="V45" s="6">
        <f t="shared" si="26"/>
        <v>1.2593706081307176E-2</v>
      </c>
      <c r="W45" s="2"/>
      <c r="X45" s="7">
        <f t="shared" si="27"/>
        <v>-1522.63</v>
      </c>
      <c r="Y45" s="2"/>
      <c r="Z45" s="6">
        <f t="shared" si="28"/>
        <v>-0.62241143912947505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1"/>
        <v>0</v>
      </c>
      <c r="G46" s="2"/>
      <c r="H46" s="7">
        <v>5311.3320000000003</v>
      </c>
      <c r="I46" s="2"/>
      <c r="J46" s="6">
        <f t="shared" si="22"/>
        <v>0.17188220445940261</v>
      </c>
      <c r="K46" s="2"/>
      <c r="L46" s="7">
        <f t="shared" si="23"/>
        <v>-5311.3320000000003</v>
      </c>
      <c r="M46" s="2"/>
      <c r="N46" s="6">
        <f t="shared" si="24"/>
        <v>-1</v>
      </c>
      <c r="O46" s="11"/>
      <c r="P46" s="7"/>
      <c r="Q46" s="2"/>
      <c r="R46" s="6">
        <f t="shared" si="25"/>
        <v>0</v>
      </c>
      <c r="S46" s="2"/>
      <c r="T46" s="7">
        <v>20064.0232</v>
      </c>
      <c r="U46" s="2"/>
      <c r="V46" s="6">
        <f t="shared" si="26"/>
        <v>0.10328916299015191</v>
      </c>
      <c r="W46" s="2"/>
      <c r="X46" s="7">
        <f t="shared" si="27"/>
        <v>-20064.0232</v>
      </c>
      <c r="Y46" s="2"/>
      <c r="Z46" s="6">
        <f t="shared" si="28"/>
        <v>-1</v>
      </c>
    </row>
    <row r="47" spans="1:26" s="24" customFormat="1" hidden="1" outlineLevel="2" x14ac:dyDescent="0.25">
      <c r="A47" s="26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6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5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155.19</v>
      </c>
      <c r="E49" s="1"/>
      <c r="F49" s="5">
        <f t="shared" ref="F49:F58" si="29">IF(D$12=0,0,D49/D$12)</f>
        <v>2.7100564416098006E-3</v>
      </c>
      <c r="G49" s="1"/>
      <c r="H49" s="1">
        <f>SUM(OSRRefH22_2x_0)</f>
        <v>300</v>
      </c>
      <c r="I49" s="1"/>
      <c r="J49" s="5">
        <f t="shared" ref="J49:J58" si="30">IF(H$12=0,0,H49/H$12)</f>
        <v>9.708423675609203E-3</v>
      </c>
      <c r="K49" s="1"/>
      <c r="L49" s="1">
        <f t="shared" ref="L49:L58" si="31">+D49-H49</f>
        <v>-144.81</v>
      </c>
      <c r="M49" s="1"/>
      <c r="N49" s="5">
        <f t="shared" ref="N49:N58" si="32">IF(H49=0,0,L49/H49)</f>
        <v>-0.48270000000000002</v>
      </c>
      <c r="O49" s="13"/>
      <c r="P49" s="1">
        <f>SUM(OSRRefP22_2x_0)</f>
        <v>373.02</v>
      </c>
      <c r="Q49" s="1"/>
      <c r="R49" s="5">
        <f t="shared" ref="R49:R58" si="33">IF(P$12=0,0,P49/P$12)</f>
        <v>9.7258931371989213E-4</v>
      </c>
      <c r="S49" s="1"/>
      <c r="T49" s="1">
        <f>SUM(OSRRefT22_2x_0)</f>
        <v>5559</v>
      </c>
      <c r="U49" s="1"/>
      <c r="V49" s="5">
        <f t="shared" ref="V49:V58" si="34">IF(T$12=0,0,T49/T$12)</f>
        <v>2.8617613294140056E-2</v>
      </c>
      <c r="W49" s="1"/>
      <c r="X49" s="1">
        <f t="shared" ref="X49:X58" si="35">+P49-T49</f>
        <v>-5185.9799999999996</v>
      </c>
      <c r="Y49" s="1"/>
      <c r="Z49" s="5">
        <f t="shared" ref="Z49:Z58" si="36">IF(T49=0,0,X49/T49)</f>
        <v>-0.93289800323799232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7">
        <v>155.19</v>
      </c>
      <c r="E50" s="2"/>
      <c r="F50" s="6">
        <f t="shared" si="29"/>
        <v>2.7100564416098006E-3</v>
      </c>
      <c r="G50" s="2"/>
      <c r="H50" s="7">
        <v>300</v>
      </c>
      <c r="I50" s="2"/>
      <c r="J50" s="6">
        <f t="shared" si="30"/>
        <v>9.708423675609203E-3</v>
      </c>
      <c r="K50" s="2"/>
      <c r="L50" s="7">
        <f t="shared" si="31"/>
        <v>-144.81</v>
      </c>
      <c r="M50" s="2"/>
      <c r="N50" s="6">
        <f t="shared" si="32"/>
        <v>-0.48270000000000002</v>
      </c>
      <c r="O50" s="11"/>
      <c r="P50" s="7">
        <v>373.02</v>
      </c>
      <c r="Q50" s="2"/>
      <c r="R50" s="6">
        <f t="shared" si="33"/>
        <v>9.7258931371989213E-4</v>
      </c>
      <c r="S50" s="2"/>
      <c r="T50" s="7">
        <v>5559</v>
      </c>
      <c r="U50" s="2"/>
      <c r="V50" s="6">
        <f t="shared" si="34"/>
        <v>2.8617613294140056E-2</v>
      </c>
      <c r="W50" s="2"/>
      <c r="X50" s="7">
        <f t="shared" si="35"/>
        <v>-5185.9799999999996</v>
      </c>
      <c r="Y50" s="2"/>
      <c r="Z50" s="6">
        <f t="shared" si="36"/>
        <v>-0.93289800323799232</v>
      </c>
    </row>
    <row r="51" spans="1:26" s="25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-0.39</v>
      </c>
      <c r="E51" s="1"/>
      <c r="F51" s="5">
        <f t="shared" si="29"/>
        <v>-6.8105033328682402E-6</v>
      </c>
      <c r="G51" s="1"/>
      <c r="H51" s="1">
        <f>SUM(OSRRefH22_3x_0)</f>
        <v>5</v>
      </c>
      <c r="I51" s="1"/>
      <c r="J51" s="5">
        <f t="shared" si="30"/>
        <v>1.6180706126015339E-4</v>
      </c>
      <c r="K51" s="1"/>
      <c r="L51" s="1">
        <f t="shared" si="31"/>
        <v>-5.39</v>
      </c>
      <c r="M51" s="1"/>
      <c r="N51" s="5">
        <f t="shared" si="32"/>
        <v>-1.0779999999999998</v>
      </c>
      <c r="O51" s="13"/>
      <c r="P51" s="1">
        <f>SUM(OSRRefP22_3x_0)</f>
        <v>8.4</v>
      </c>
      <c r="Q51" s="1"/>
      <c r="R51" s="5">
        <f t="shared" si="33"/>
        <v>2.1901641293354499E-5</v>
      </c>
      <c r="S51" s="1"/>
      <c r="T51" s="1">
        <f>SUM(OSRRefT22_3x_0)</f>
        <v>75</v>
      </c>
      <c r="U51" s="1"/>
      <c r="V51" s="5">
        <f t="shared" si="34"/>
        <v>3.8609839846384317E-4</v>
      </c>
      <c r="W51" s="1"/>
      <c r="X51" s="1">
        <f t="shared" si="35"/>
        <v>-66.599999999999994</v>
      </c>
      <c r="Y51" s="1"/>
      <c r="Z51" s="5">
        <f t="shared" si="36"/>
        <v>-0.8879999999999999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7">
        <v>-0.39</v>
      </c>
      <c r="E52" s="2"/>
      <c r="F52" s="6">
        <f t="shared" si="29"/>
        <v>-6.8105033328682402E-6</v>
      </c>
      <c r="G52" s="2"/>
      <c r="H52" s="7">
        <v>5</v>
      </c>
      <c r="I52" s="2"/>
      <c r="J52" s="6">
        <f t="shared" si="30"/>
        <v>1.6180706126015339E-4</v>
      </c>
      <c r="K52" s="2"/>
      <c r="L52" s="7">
        <f t="shared" si="31"/>
        <v>-5.39</v>
      </c>
      <c r="M52" s="2"/>
      <c r="N52" s="6">
        <f t="shared" si="32"/>
        <v>-1.0779999999999998</v>
      </c>
      <c r="O52" s="11"/>
      <c r="P52" s="7">
        <v>8.4</v>
      </c>
      <c r="Q52" s="2"/>
      <c r="R52" s="6">
        <f t="shared" si="33"/>
        <v>2.1901641293354499E-5</v>
      </c>
      <c r="S52" s="2"/>
      <c r="T52" s="7">
        <v>75</v>
      </c>
      <c r="U52" s="2"/>
      <c r="V52" s="6">
        <f t="shared" si="34"/>
        <v>3.8609839846384317E-4</v>
      </c>
      <c r="W52" s="2"/>
      <c r="X52" s="7">
        <f t="shared" si="35"/>
        <v>-66.599999999999994</v>
      </c>
      <c r="Y52" s="2"/>
      <c r="Z52" s="6">
        <f t="shared" si="36"/>
        <v>-0.8879999999999999</v>
      </c>
    </row>
    <row r="53" spans="1:26" s="25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649.46</v>
      </c>
      <c r="E53" s="1"/>
      <c r="F53" s="5">
        <f t="shared" si="29"/>
        <v>1.1341408960422071E-2</v>
      </c>
      <c r="G53" s="1"/>
      <c r="H53" s="1">
        <f>SUM(OSRRefH22_4x_0)</f>
        <v>1200</v>
      </c>
      <c r="I53" s="1"/>
      <c r="J53" s="5">
        <f t="shared" si="30"/>
        <v>3.8833694702436812E-2</v>
      </c>
      <c r="K53" s="1"/>
      <c r="L53" s="1">
        <f t="shared" si="31"/>
        <v>-550.54</v>
      </c>
      <c r="M53" s="1"/>
      <c r="N53" s="5">
        <f t="shared" si="32"/>
        <v>-0.45878333333333332</v>
      </c>
      <c r="O53" s="13"/>
      <c r="P53" s="1">
        <f>SUM(OSRRefP22_4x_0)</f>
        <v>5357.85</v>
      </c>
      <c r="Q53" s="1"/>
      <c r="R53" s="5">
        <f t="shared" si="33"/>
        <v>1.3969727238523738E-2</v>
      </c>
      <c r="S53" s="1"/>
      <c r="T53" s="1">
        <f>SUM(OSRRefT22_4x_0)</f>
        <v>25363</v>
      </c>
      <c r="U53" s="1"/>
      <c r="V53" s="5">
        <f t="shared" si="34"/>
        <v>0.13056818240317938</v>
      </c>
      <c r="W53" s="1"/>
      <c r="X53" s="1">
        <f t="shared" si="35"/>
        <v>-20005.150000000001</v>
      </c>
      <c r="Y53" s="1"/>
      <c r="Z53" s="5">
        <f t="shared" si="36"/>
        <v>-0.78875330205417349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7">
        <v>649.46</v>
      </c>
      <c r="E54" s="2"/>
      <c r="F54" s="6">
        <f t="shared" si="29"/>
        <v>1.1341408960422071E-2</v>
      </c>
      <c r="G54" s="2"/>
      <c r="H54" s="7">
        <v>1200</v>
      </c>
      <c r="I54" s="2"/>
      <c r="J54" s="6">
        <f t="shared" si="30"/>
        <v>3.8833694702436812E-2</v>
      </c>
      <c r="K54" s="2"/>
      <c r="L54" s="7">
        <f t="shared" si="31"/>
        <v>-550.54</v>
      </c>
      <c r="M54" s="2"/>
      <c r="N54" s="6">
        <f t="shared" si="32"/>
        <v>-0.45878333333333332</v>
      </c>
      <c r="O54" s="11"/>
      <c r="P54" s="7">
        <v>5357.85</v>
      </c>
      <c r="Q54" s="2"/>
      <c r="R54" s="6">
        <f t="shared" si="33"/>
        <v>1.3969727238523738E-2</v>
      </c>
      <c r="S54" s="2"/>
      <c r="T54" s="7">
        <v>25363</v>
      </c>
      <c r="U54" s="2"/>
      <c r="V54" s="6">
        <f t="shared" si="34"/>
        <v>0.13056818240317938</v>
      </c>
      <c r="W54" s="2"/>
      <c r="X54" s="7">
        <f t="shared" si="35"/>
        <v>-20005.150000000001</v>
      </c>
      <c r="Y54" s="2"/>
      <c r="Z54" s="6">
        <f t="shared" si="36"/>
        <v>-0.78875330205417349</v>
      </c>
    </row>
    <row r="55" spans="1:26" s="25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36720.76</v>
      </c>
      <c r="E55" s="1"/>
      <c r="F55" s="5">
        <f t="shared" si="29"/>
        <v>0.6412483547832174</v>
      </c>
      <c r="G55" s="1"/>
      <c r="H55" s="1">
        <f>SUM(OSRRefH22_5x_0)</f>
        <v>37717</v>
      </c>
      <c r="I55" s="1"/>
      <c r="J55" s="5">
        <f t="shared" si="30"/>
        <v>1.2205753859098412</v>
      </c>
      <c r="K55" s="1"/>
      <c r="L55" s="1">
        <f t="shared" si="31"/>
        <v>-996.23999999999796</v>
      </c>
      <c r="M55" s="1"/>
      <c r="N55" s="5">
        <f t="shared" si="32"/>
        <v>-2.6413553570008165E-2</v>
      </c>
      <c r="O55" s="13"/>
      <c r="P55" s="1">
        <f>SUM(OSRRefP22_5x_0)</f>
        <v>333310.36</v>
      </c>
      <c r="Q55" s="1"/>
      <c r="R55" s="5">
        <f t="shared" si="33"/>
        <v>0.86905285048557768</v>
      </c>
      <c r="S55" s="1"/>
      <c r="T55" s="1">
        <f>SUM(OSRRefT22_5x_0)</f>
        <v>342057</v>
      </c>
      <c r="U55" s="1"/>
      <c r="V55" s="5">
        <f t="shared" si="34"/>
        <v>1.7609021317779574</v>
      </c>
      <c r="W55" s="1"/>
      <c r="X55" s="1">
        <f t="shared" si="35"/>
        <v>-8746.640000000014</v>
      </c>
      <c r="Y55" s="1"/>
      <c r="Z55" s="5">
        <f t="shared" si="36"/>
        <v>-2.5570708975404723E-2</v>
      </c>
    </row>
    <row r="56" spans="1:26" s="24" customFormat="1" hidden="1" outlineLevel="2" x14ac:dyDescent="0.25">
      <c r="A56" s="26"/>
      <c r="B56" s="11" t="str">
        <f>CONCATENATE("          ", "6321", " - ", "BUILDING DEPRECIATION")</f>
        <v xml:space="preserve">          6321 - BUILDING DEPRECIATION</v>
      </c>
      <c r="C56" s="11"/>
      <c r="D56" s="7">
        <v>23583.49</v>
      </c>
      <c r="E56" s="2"/>
      <c r="F56" s="6">
        <f t="shared" si="29"/>
        <v>0.41183445447606365</v>
      </c>
      <c r="G56" s="2"/>
      <c r="H56" s="7"/>
      <c r="I56" s="2"/>
      <c r="J56" s="6">
        <f t="shared" si="30"/>
        <v>0</v>
      </c>
      <c r="K56" s="2"/>
      <c r="L56" s="7">
        <f t="shared" si="31"/>
        <v>23583.49</v>
      </c>
      <c r="M56" s="2"/>
      <c r="N56" s="6">
        <f t="shared" si="32"/>
        <v>0</v>
      </c>
      <c r="O56" s="11"/>
      <c r="P56" s="7">
        <v>213035.6</v>
      </c>
      <c r="Q56" s="2"/>
      <c r="R56" s="6">
        <f t="shared" si="33"/>
        <v>0.55545586832316085</v>
      </c>
      <c r="S56" s="2"/>
      <c r="T56" s="7"/>
      <c r="U56" s="2"/>
      <c r="V56" s="6">
        <f t="shared" si="34"/>
        <v>0</v>
      </c>
      <c r="W56" s="2"/>
      <c r="X56" s="7">
        <f t="shared" si="35"/>
        <v>213035.6</v>
      </c>
      <c r="Y56" s="2"/>
      <c r="Z56" s="6">
        <f t="shared" si="36"/>
        <v>0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13137.27</v>
      </c>
      <c r="E57" s="2"/>
      <c r="F57" s="6">
        <f t="shared" si="29"/>
        <v>0.22941390030715372</v>
      </c>
      <c r="G57" s="2"/>
      <c r="H57" s="7">
        <v>37167</v>
      </c>
      <c r="I57" s="2"/>
      <c r="J57" s="6">
        <f t="shared" si="30"/>
        <v>1.2027766091712242</v>
      </c>
      <c r="K57" s="2"/>
      <c r="L57" s="7">
        <f t="shared" si="31"/>
        <v>-24029.73</v>
      </c>
      <c r="M57" s="2"/>
      <c r="N57" s="6">
        <f t="shared" si="32"/>
        <v>-0.64653402211639355</v>
      </c>
      <c r="O57" s="11"/>
      <c r="P57" s="7">
        <v>120274.76</v>
      </c>
      <c r="Q57" s="2"/>
      <c r="R57" s="6">
        <f t="shared" si="33"/>
        <v>0.31359698216241683</v>
      </c>
      <c r="S57" s="2"/>
      <c r="T57" s="7">
        <v>337107</v>
      </c>
      <c r="U57" s="2"/>
      <c r="V57" s="6">
        <f t="shared" si="34"/>
        <v>1.7354196374793438</v>
      </c>
      <c r="W57" s="2"/>
      <c r="X57" s="7">
        <f t="shared" si="35"/>
        <v>-216832.24</v>
      </c>
      <c r="Y57" s="2"/>
      <c r="Z57" s="6">
        <f t="shared" si="36"/>
        <v>-0.64321488429489748</v>
      </c>
    </row>
    <row r="58" spans="1:26" s="24" customFormat="1" hidden="1" outlineLevel="2" x14ac:dyDescent="0.25">
      <c r="A58" s="26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29"/>
        <v>0</v>
      </c>
      <c r="G58" s="2"/>
      <c r="H58" s="7">
        <v>550</v>
      </c>
      <c r="I58" s="2"/>
      <c r="J58" s="6">
        <f t="shared" si="30"/>
        <v>1.7798776738616875E-2</v>
      </c>
      <c r="K58" s="2"/>
      <c r="L58" s="7">
        <f t="shared" si="31"/>
        <v>-550</v>
      </c>
      <c r="M58" s="2"/>
      <c r="N58" s="6">
        <f t="shared" si="32"/>
        <v>-1</v>
      </c>
      <c r="O58" s="11"/>
      <c r="P58" s="7"/>
      <c r="Q58" s="2"/>
      <c r="R58" s="6">
        <f t="shared" si="33"/>
        <v>0</v>
      </c>
      <c r="S58" s="2"/>
      <c r="T58" s="7">
        <v>4950</v>
      </c>
      <c r="U58" s="2"/>
      <c r="V58" s="6">
        <f t="shared" si="34"/>
        <v>2.5482494298613649E-2</v>
      </c>
      <c r="W58" s="2"/>
      <c r="X58" s="7">
        <f t="shared" si="35"/>
        <v>-4950</v>
      </c>
      <c r="Y58" s="2"/>
      <c r="Z58" s="6">
        <f t="shared" si="36"/>
        <v>-1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SUM(OSRRefD22_6x_0)</f>
        <v>0</v>
      </c>
      <c r="E59" s="1"/>
      <c r="F59" s="5">
        <f t="shared" ref="F59:F77" si="37">IF(D$12=0,0,D59/D$12)</f>
        <v>0</v>
      </c>
      <c r="G59" s="1"/>
      <c r="H59" s="1">
        <f>SUM(OSRRefH22_6x_0)</f>
        <v>0</v>
      </c>
      <c r="I59" s="1"/>
      <c r="J59" s="5">
        <f t="shared" ref="J59:J77" si="38">IF(H$12=0,0,H59/H$12)</f>
        <v>0</v>
      </c>
      <c r="K59" s="1"/>
      <c r="L59" s="1">
        <f t="shared" ref="L59:L77" si="39">+D59-H59</f>
        <v>0</v>
      </c>
      <c r="M59" s="1"/>
      <c r="N59" s="5">
        <f t="shared" ref="N59:N77" si="40">IF(H59=0,0,L59/H59)</f>
        <v>0</v>
      </c>
      <c r="O59" s="13"/>
      <c r="P59" s="1">
        <f>SUM(OSRRefP22_6x_0)</f>
        <v>10</v>
      </c>
      <c r="Q59" s="1"/>
      <c r="R59" s="5">
        <f t="shared" ref="R59:R77" si="41">IF(P$12=0,0,P59/P$12)</f>
        <v>2.6073382492088687E-5</v>
      </c>
      <c r="S59" s="1"/>
      <c r="T59" s="1">
        <f>SUM(OSRRefT22_6x_0)</f>
        <v>100</v>
      </c>
      <c r="U59" s="1"/>
      <c r="V59" s="5">
        <f t="shared" ref="V59:V77" si="42">IF(T$12=0,0,T59/T$12)</f>
        <v>5.1479786461845756E-4</v>
      </c>
      <c r="W59" s="1"/>
      <c r="X59" s="1">
        <f t="shared" ref="X59:X77" si="43">+P59-T59</f>
        <v>-90</v>
      </c>
      <c r="Y59" s="1"/>
      <c r="Z59" s="5">
        <f t="shared" ref="Z59:Z77" si="44">IF(T59=0,0,X59/T59)</f>
        <v>-0.9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10</v>
      </c>
      <c r="Q60" s="2"/>
      <c r="R60" s="6">
        <f t="shared" si="41"/>
        <v>2.6073382492088687E-5</v>
      </c>
      <c r="S60" s="2"/>
      <c r="T60" s="7">
        <v>100</v>
      </c>
      <c r="U60" s="2"/>
      <c r="V60" s="6">
        <f t="shared" si="42"/>
        <v>5.1479786461845756E-4</v>
      </c>
      <c r="W60" s="2"/>
      <c r="X60" s="7">
        <f t="shared" si="43"/>
        <v>-90</v>
      </c>
      <c r="Y60" s="2"/>
      <c r="Z60" s="6">
        <f t="shared" si="44"/>
        <v>-0.9</v>
      </c>
    </row>
    <row r="61" spans="1:26" s="25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SUM(OSRRefD22_7x_0)</f>
        <v>163.80000000000001</v>
      </c>
      <c r="E61" s="1"/>
      <c r="F61" s="5">
        <f t="shared" si="37"/>
        <v>2.8604113998046609E-3</v>
      </c>
      <c r="G61" s="1"/>
      <c r="H61" s="1">
        <f>SUM(OSRRefH22_7x_0)</f>
        <v>328.33333333333297</v>
      </c>
      <c r="I61" s="1"/>
      <c r="J61" s="5">
        <f t="shared" si="38"/>
        <v>1.0625330356083394E-2</v>
      </c>
      <c r="K61" s="1"/>
      <c r="L61" s="1">
        <f t="shared" si="39"/>
        <v>-164.53333333333296</v>
      </c>
      <c r="M61" s="1"/>
      <c r="N61" s="5">
        <f t="shared" si="40"/>
        <v>-0.50111675126903499</v>
      </c>
      <c r="O61" s="13"/>
      <c r="P61" s="1">
        <f>SUM(OSRRefP22_7x_0)</f>
        <v>4884.2299999999996</v>
      </c>
      <c r="Q61" s="1"/>
      <c r="R61" s="5">
        <f t="shared" si="41"/>
        <v>1.2734839696933431E-2</v>
      </c>
      <c r="S61" s="1"/>
      <c r="T61" s="1">
        <f>SUM(OSRRefT22_7x_0)</f>
        <v>2933</v>
      </c>
      <c r="U61" s="1"/>
      <c r="V61" s="5">
        <f t="shared" si="42"/>
        <v>1.509902136925936E-2</v>
      </c>
      <c r="W61" s="1"/>
      <c r="X61" s="1">
        <f t="shared" si="43"/>
        <v>1951.2299999999996</v>
      </c>
      <c r="Y61" s="1"/>
      <c r="Z61" s="5">
        <f t="shared" si="44"/>
        <v>0.66526764405046013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7">
        <v>163.80000000000001</v>
      </c>
      <c r="E62" s="2"/>
      <c r="F62" s="6">
        <f t="shared" si="37"/>
        <v>2.8604113998046609E-3</v>
      </c>
      <c r="G62" s="2"/>
      <c r="H62" s="7">
        <v>328.33333333333297</v>
      </c>
      <c r="I62" s="2"/>
      <c r="J62" s="6">
        <f t="shared" si="38"/>
        <v>1.0625330356083394E-2</v>
      </c>
      <c r="K62" s="2"/>
      <c r="L62" s="7">
        <f t="shared" si="39"/>
        <v>-164.53333333333296</v>
      </c>
      <c r="M62" s="2"/>
      <c r="N62" s="6">
        <f t="shared" si="40"/>
        <v>-0.50111675126903499</v>
      </c>
      <c r="O62" s="11"/>
      <c r="P62" s="7">
        <v>4884.2299999999996</v>
      </c>
      <c r="Q62" s="2"/>
      <c r="R62" s="6">
        <f t="shared" si="41"/>
        <v>1.2734839696933431E-2</v>
      </c>
      <c r="S62" s="2"/>
      <c r="T62" s="7">
        <v>2933</v>
      </c>
      <c r="U62" s="2"/>
      <c r="V62" s="6">
        <f t="shared" si="42"/>
        <v>1.509902136925936E-2</v>
      </c>
      <c r="W62" s="2"/>
      <c r="X62" s="7">
        <f t="shared" si="43"/>
        <v>1951.2299999999996</v>
      </c>
      <c r="Y62" s="2"/>
      <c r="Z62" s="6">
        <f t="shared" si="44"/>
        <v>0.66526764405046013</v>
      </c>
    </row>
    <row r="63" spans="1:26" s="25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3"/>
      <c r="P63" s="1">
        <f>SUM(OSRRefP22_8x_0)</f>
        <v>-5.41</v>
      </c>
      <c r="Q63" s="1"/>
      <c r="R63" s="5">
        <f t="shared" si="41"/>
        <v>-1.410569992821998E-5</v>
      </c>
      <c r="S63" s="1"/>
      <c r="T63" s="1">
        <f>SUM(OSRRefT22_8x_0)</f>
        <v>0</v>
      </c>
      <c r="U63" s="1"/>
      <c r="V63" s="5">
        <f t="shared" si="42"/>
        <v>0</v>
      </c>
      <c r="W63" s="1"/>
      <c r="X63" s="1">
        <f t="shared" si="43"/>
        <v>-5.41</v>
      </c>
      <c r="Y63" s="1"/>
      <c r="Z63" s="5">
        <f t="shared" si="44"/>
        <v>0</v>
      </c>
    </row>
    <row r="64" spans="1:26" s="24" customFormat="1" hidden="1" outlineLevel="2" x14ac:dyDescent="0.25">
      <c r="A64" s="26"/>
      <c r="B64" s="11" t="str">
        <f>CONCATENATE("          ", "6307", " - ", "POSTAGE")</f>
        <v xml:space="preserve">          6307 - POSTAGE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-5.41</v>
      </c>
      <c r="Q64" s="2"/>
      <c r="R64" s="6">
        <f t="shared" si="41"/>
        <v>-1.410569992821998E-5</v>
      </c>
      <c r="S64" s="2"/>
      <c r="T64" s="7"/>
      <c r="U64" s="2"/>
      <c r="V64" s="6">
        <f t="shared" si="42"/>
        <v>0</v>
      </c>
      <c r="W64" s="2"/>
      <c r="X64" s="7">
        <f t="shared" si="43"/>
        <v>-5.41</v>
      </c>
      <c r="Y64" s="2"/>
      <c r="Z64" s="6">
        <f t="shared" si="44"/>
        <v>0</v>
      </c>
    </row>
    <row r="65" spans="1:26" s="25" customFormat="1" outlineLevel="1" collapsed="1" x14ac:dyDescent="0.25">
      <c r="A65" s="27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SUM(OSRRefD22_9x_0)</f>
        <v>455</v>
      </c>
      <c r="E65" s="1"/>
      <c r="F65" s="5">
        <f t="shared" si="37"/>
        <v>7.9455872216796144E-3</v>
      </c>
      <c r="G65" s="1"/>
      <c r="H65" s="1">
        <f>SUM(OSRRefH22_9x_0)</f>
        <v>0</v>
      </c>
      <c r="I65" s="1"/>
      <c r="J65" s="5">
        <f t="shared" si="38"/>
        <v>0</v>
      </c>
      <c r="K65" s="1"/>
      <c r="L65" s="1">
        <f t="shared" si="39"/>
        <v>455</v>
      </c>
      <c r="M65" s="1"/>
      <c r="N65" s="5">
        <f t="shared" si="40"/>
        <v>0</v>
      </c>
      <c r="O65" s="13"/>
      <c r="P65" s="1">
        <f>SUM(OSRRefP22_9x_0)</f>
        <v>7425.48</v>
      </c>
      <c r="Q65" s="1"/>
      <c r="R65" s="5">
        <f t="shared" si="41"/>
        <v>1.9360738022735469E-2</v>
      </c>
      <c r="S65" s="1"/>
      <c r="T65" s="1">
        <f>SUM(OSRRefT22_9x_0)</f>
        <v>6610</v>
      </c>
      <c r="U65" s="1"/>
      <c r="V65" s="5">
        <f t="shared" si="42"/>
        <v>3.4028138851280046E-2</v>
      </c>
      <c r="W65" s="1"/>
      <c r="X65" s="1">
        <f t="shared" si="43"/>
        <v>815.47999999999956</v>
      </c>
      <c r="Y65" s="1"/>
      <c r="Z65" s="5">
        <f t="shared" si="44"/>
        <v>0.12337065052950069</v>
      </c>
    </row>
    <row r="66" spans="1:26" s="24" customFormat="1" hidden="1" outlineLevel="2" x14ac:dyDescent="0.25">
      <c r="A66" s="26"/>
      <c r="B66" s="11" t="str">
        <f>CONCATENATE("          ", "6279", " - ", "GENERAL EXPENSE")</f>
        <v xml:space="preserve">          6279 - GENERAL EXPENSE</v>
      </c>
      <c r="C66" s="11"/>
      <c r="D66" s="7">
        <v>455</v>
      </c>
      <c r="E66" s="2"/>
      <c r="F66" s="6">
        <f t="shared" si="37"/>
        <v>7.9455872216796144E-3</v>
      </c>
      <c r="G66" s="2"/>
      <c r="H66" s="7">
        <v>0</v>
      </c>
      <c r="I66" s="2"/>
      <c r="J66" s="6">
        <f t="shared" si="38"/>
        <v>0</v>
      </c>
      <c r="K66" s="2"/>
      <c r="L66" s="7">
        <f t="shared" si="39"/>
        <v>455</v>
      </c>
      <c r="M66" s="2"/>
      <c r="N66" s="6">
        <f t="shared" si="40"/>
        <v>0</v>
      </c>
      <c r="O66" s="11"/>
      <c r="P66" s="7">
        <v>7425.48</v>
      </c>
      <c r="Q66" s="2"/>
      <c r="R66" s="6">
        <f t="shared" si="41"/>
        <v>1.9360738022735469E-2</v>
      </c>
      <c r="S66" s="2"/>
      <c r="T66" s="7">
        <v>6610</v>
      </c>
      <c r="U66" s="2"/>
      <c r="V66" s="6">
        <f t="shared" si="42"/>
        <v>3.4028138851280046E-2</v>
      </c>
      <c r="W66" s="2"/>
      <c r="X66" s="7">
        <f t="shared" si="43"/>
        <v>815.47999999999956</v>
      </c>
      <c r="Y66" s="2"/>
      <c r="Z66" s="6">
        <f t="shared" si="44"/>
        <v>0.12337065052950069</v>
      </c>
    </row>
    <row r="67" spans="1:26" s="25" customFormat="1" outlineLevel="1" collapsed="1" x14ac:dyDescent="0.25">
      <c r="A67" s="27"/>
      <c r="B67" s="13" t="str">
        <f>CONCATENATE("     ","Insurance                                         ")</f>
        <v xml:space="preserve">     Insurance                                         </v>
      </c>
      <c r="C67" s="13"/>
      <c r="D67" s="1">
        <f>SUM(OSRRefD22_10x_0)</f>
        <v>4240.13</v>
      </c>
      <c r="E67" s="1"/>
      <c r="F67" s="5">
        <f t="shared" si="37"/>
        <v>7.4044665376396437E-2</v>
      </c>
      <c r="G67" s="1"/>
      <c r="H67" s="1">
        <f>SUM(OSRRefH22_10x_0)</f>
        <v>4565</v>
      </c>
      <c r="I67" s="1"/>
      <c r="J67" s="5">
        <f t="shared" si="38"/>
        <v>0.14772984693052005</v>
      </c>
      <c r="K67" s="1"/>
      <c r="L67" s="1">
        <f t="shared" si="39"/>
        <v>-324.86999999999989</v>
      </c>
      <c r="M67" s="1"/>
      <c r="N67" s="5">
        <f t="shared" si="40"/>
        <v>-7.1165388828039411E-2</v>
      </c>
      <c r="O67" s="13"/>
      <c r="P67" s="1">
        <f>SUM(OSRRefP22_10x_0)</f>
        <v>44273.17</v>
      </c>
      <c r="Q67" s="1"/>
      <c r="R67" s="5">
        <f t="shared" si="41"/>
        <v>0.1154351295547266</v>
      </c>
      <c r="S67" s="1"/>
      <c r="T67" s="1">
        <f>SUM(OSRRefT22_10x_0)</f>
        <v>41085</v>
      </c>
      <c r="U67" s="1"/>
      <c r="V67" s="5">
        <f t="shared" si="42"/>
        <v>0.21150470267849328</v>
      </c>
      <c r="W67" s="1"/>
      <c r="X67" s="1">
        <f t="shared" si="43"/>
        <v>3188.1699999999983</v>
      </c>
      <c r="Y67" s="1"/>
      <c r="Z67" s="5">
        <f t="shared" si="44"/>
        <v>7.7599367165632177E-2</v>
      </c>
    </row>
    <row r="68" spans="1:26" s="24" customFormat="1" hidden="1" outlineLevel="2" x14ac:dyDescent="0.25">
      <c r="A68" s="26"/>
      <c r="B68" s="11" t="str">
        <f>CONCATENATE("          ", "6314", " - ", "LIABILITY INSURANCE")</f>
        <v xml:space="preserve">          6314 - LIABILITY INSURANCE</v>
      </c>
      <c r="C68" s="11"/>
      <c r="D68" s="7">
        <v>4240.13</v>
      </c>
      <c r="E68" s="2"/>
      <c r="F68" s="6">
        <f t="shared" si="37"/>
        <v>7.4044665376396437E-2</v>
      </c>
      <c r="G68" s="2"/>
      <c r="H68" s="7">
        <v>4565</v>
      </c>
      <c r="I68" s="2"/>
      <c r="J68" s="6">
        <f t="shared" si="38"/>
        <v>0.14772984693052005</v>
      </c>
      <c r="K68" s="2"/>
      <c r="L68" s="7">
        <f t="shared" si="39"/>
        <v>-324.86999999999989</v>
      </c>
      <c r="M68" s="2"/>
      <c r="N68" s="6">
        <f t="shared" si="40"/>
        <v>-7.1165388828039411E-2</v>
      </c>
      <c r="O68" s="11"/>
      <c r="P68" s="7">
        <v>44273.17</v>
      </c>
      <c r="Q68" s="2"/>
      <c r="R68" s="6">
        <f t="shared" si="41"/>
        <v>0.1154351295547266</v>
      </c>
      <c r="S68" s="2"/>
      <c r="T68" s="7">
        <v>41085</v>
      </c>
      <c r="U68" s="2"/>
      <c r="V68" s="6">
        <f t="shared" si="42"/>
        <v>0.21150470267849328</v>
      </c>
      <c r="W68" s="2"/>
      <c r="X68" s="7">
        <f t="shared" si="43"/>
        <v>3188.1699999999983</v>
      </c>
      <c r="Y68" s="2"/>
      <c r="Z68" s="6">
        <f t="shared" si="44"/>
        <v>7.7599367165632177E-2</v>
      </c>
    </row>
    <row r="69" spans="1:26" s="25" customFormat="1" outlineLevel="1" collapsed="1" x14ac:dyDescent="0.25">
      <c r="A69" s="27"/>
      <c r="B69" s="13" t="str">
        <f>CONCATENATE("     ","Interest                                          ")</f>
        <v xml:space="preserve">     Interest                                          </v>
      </c>
      <c r="C69" s="13"/>
      <c r="D69" s="1">
        <f>SUM(OSRRefD22_11x_0)</f>
        <v>7510</v>
      </c>
      <c r="E69" s="1"/>
      <c r="F69" s="5">
        <f t="shared" si="37"/>
        <v>0.13114584623036021</v>
      </c>
      <c r="G69" s="1"/>
      <c r="H69" s="1">
        <f>SUM(OSRRefH22_11x_0)</f>
        <v>7510</v>
      </c>
      <c r="I69" s="1"/>
      <c r="J69" s="5">
        <f t="shared" si="38"/>
        <v>0.24303420601275039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SUM(OSRRefP22_11x_0)</f>
        <v>67103.149999999994</v>
      </c>
      <c r="Q69" s="1"/>
      <c r="R69" s="5">
        <f t="shared" si="41"/>
        <v>0.17496060963740007</v>
      </c>
      <c r="S69" s="1"/>
      <c r="T69" s="1">
        <f>SUM(OSRRefT22_11x_0)</f>
        <v>67590</v>
      </c>
      <c r="U69" s="1"/>
      <c r="V69" s="5">
        <f t="shared" si="42"/>
        <v>0.34795187669561545</v>
      </c>
      <c r="W69" s="1"/>
      <c r="X69" s="1">
        <f t="shared" si="43"/>
        <v>-486.85000000000582</v>
      </c>
      <c r="Y69" s="1"/>
      <c r="Z69" s="5">
        <f t="shared" si="44"/>
        <v>-7.2029886077823024E-3</v>
      </c>
    </row>
    <row r="70" spans="1:26" s="24" customFormat="1" hidden="1" outlineLevel="2" x14ac:dyDescent="0.25">
      <c r="A70" s="26"/>
      <c r="B70" s="11" t="str">
        <f>CONCATENATE("          ", "6401", " - ", "INTEREST EXPENSE")</f>
        <v xml:space="preserve">          6401 - INTEREST EXPENSE</v>
      </c>
      <c r="C70" s="11"/>
      <c r="D70" s="7">
        <v>7510</v>
      </c>
      <c r="E70" s="2"/>
      <c r="F70" s="6">
        <f t="shared" si="37"/>
        <v>0.13114584623036021</v>
      </c>
      <c r="G70" s="2"/>
      <c r="H70" s="7">
        <v>7510</v>
      </c>
      <c r="I70" s="2"/>
      <c r="J70" s="6">
        <f t="shared" si="38"/>
        <v>0.24303420601275039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67103.149999999994</v>
      </c>
      <c r="Q70" s="2"/>
      <c r="R70" s="6">
        <f t="shared" si="41"/>
        <v>0.17496060963740007</v>
      </c>
      <c r="S70" s="2"/>
      <c r="T70" s="7">
        <v>67590</v>
      </c>
      <c r="U70" s="2"/>
      <c r="V70" s="6">
        <f t="shared" si="42"/>
        <v>0.34795187669561545</v>
      </c>
      <c r="W70" s="2"/>
      <c r="X70" s="7">
        <f t="shared" si="43"/>
        <v>-486.85000000000582</v>
      </c>
      <c r="Y70" s="2"/>
      <c r="Z70" s="6">
        <f t="shared" si="44"/>
        <v>-7.2029886077823024E-3</v>
      </c>
    </row>
    <row r="71" spans="1:26" s="25" customFormat="1" outlineLevel="1" collapsed="1" x14ac:dyDescent="0.25">
      <c r="A71" s="27"/>
      <c r="B71" s="13" t="str">
        <f>CONCATENATE("     ","Rent                                              ")</f>
        <v xml:space="preserve">     Rent                                              </v>
      </c>
      <c r="C71" s="13"/>
      <c r="D71" s="1">
        <f>SUM(OSRRefD22_12x_0)</f>
        <v>0</v>
      </c>
      <c r="E71" s="1"/>
      <c r="F71" s="5">
        <f t="shared" si="37"/>
        <v>0</v>
      </c>
      <c r="G71" s="1"/>
      <c r="H71" s="1">
        <f>SUM(OSRRefH22_12x_0)</f>
        <v>1943</v>
      </c>
      <c r="I71" s="1"/>
      <c r="J71" s="5">
        <f t="shared" si="38"/>
        <v>6.2878224005695607E-2</v>
      </c>
      <c r="K71" s="1"/>
      <c r="L71" s="1">
        <f t="shared" si="39"/>
        <v>-1943</v>
      </c>
      <c r="M71" s="1"/>
      <c r="N71" s="5">
        <f t="shared" si="40"/>
        <v>-1</v>
      </c>
      <c r="O71" s="13"/>
      <c r="P71" s="1">
        <f>SUM(OSRRefP22_12x_0)</f>
        <v>11100</v>
      </c>
      <c r="Q71" s="1"/>
      <c r="R71" s="5">
        <f t="shared" si="41"/>
        <v>2.8941454566218442E-2</v>
      </c>
      <c r="S71" s="1"/>
      <c r="T71" s="1">
        <f>SUM(OSRRefT22_12x_0)</f>
        <v>17487</v>
      </c>
      <c r="U71" s="1"/>
      <c r="V71" s="5">
        <f t="shared" si="42"/>
        <v>9.0022702585829673E-2</v>
      </c>
      <c r="W71" s="1"/>
      <c r="X71" s="1">
        <f t="shared" si="43"/>
        <v>-6387</v>
      </c>
      <c r="Y71" s="1"/>
      <c r="Z71" s="5">
        <f t="shared" si="44"/>
        <v>-0.36524275175844911</v>
      </c>
    </row>
    <row r="72" spans="1:26" s="24" customFormat="1" hidden="1" outlineLevel="2" x14ac:dyDescent="0.25">
      <c r="A72" s="26"/>
      <c r="B72" s="11" t="str">
        <f>CONCATENATE("          ", "6273", " - ", "RENT")</f>
        <v xml:space="preserve">          6273 - RENT</v>
      </c>
      <c r="C72" s="11"/>
      <c r="D72" s="7"/>
      <c r="E72" s="2"/>
      <c r="F72" s="6">
        <f t="shared" si="37"/>
        <v>0</v>
      </c>
      <c r="G72" s="2"/>
      <c r="H72" s="7">
        <v>1943</v>
      </c>
      <c r="I72" s="2"/>
      <c r="J72" s="6">
        <f t="shared" si="38"/>
        <v>6.2878224005695607E-2</v>
      </c>
      <c r="K72" s="2"/>
      <c r="L72" s="7">
        <f t="shared" si="39"/>
        <v>-1943</v>
      </c>
      <c r="M72" s="2"/>
      <c r="N72" s="6">
        <f t="shared" si="40"/>
        <v>-1</v>
      </c>
      <c r="O72" s="11"/>
      <c r="P72" s="7">
        <v>11100</v>
      </c>
      <c r="Q72" s="2"/>
      <c r="R72" s="6">
        <f t="shared" si="41"/>
        <v>2.8941454566218442E-2</v>
      </c>
      <c r="S72" s="2"/>
      <c r="T72" s="7">
        <v>17487</v>
      </c>
      <c r="U72" s="2"/>
      <c r="V72" s="6">
        <f t="shared" si="42"/>
        <v>9.0022702585829673E-2</v>
      </c>
      <c r="W72" s="2"/>
      <c r="X72" s="7">
        <f t="shared" si="43"/>
        <v>-6387</v>
      </c>
      <c r="Y72" s="2"/>
      <c r="Z72" s="6">
        <f t="shared" si="44"/>
        <v>-0.36524275175844911</v>
      </c>
    </row>
    <row r="73" spans="1:26" s="25" customFormat="1" outlineLevel="1" collapsed="1" x14ac:dyDescent="0.25">
      <c r="A73" s="27"/>
      <c r="B73" s="13" t="str">
        <f>CONCATENATE("     ","Repair and Maintenance                            ")</f>
        <v xml:space="preserve">     Repair and Maintenance                            </v>
      </c>
      <c r="C73" s="13"/>
      <c r="D73" s="1">
        <f>SUM(OSRRefD22_13x_0)</f>
        <v>17049.71</v>
      </c>
      <c r="E73" s="1"/>
      <c r="F73" s="5">
        <f t="shared" si="37"/>
        <v>0.29773617122932555</v>
      </c>
      <c r="G73" s="1"/>
      <c r="H73" s="1">
        <f>SUM(OSRRefH22_13x_0)</f>
        <v>1100</v>
      </c>
      <c r="I73" s="1"/>
      <c r="J73" s="5">
        <f t="shared" si="38"/>
        <v>3.559755347723375E-2</v>
      </c>
      <c r="K73" s="1"/>
      <c r="L73" s="1">
        <f t="shared" si="39"/>
        <v>15949.71</v>
      </c>
      <c r="M73" s="1"/>
      <c r="N73" s="5">
        <f t="shared" si="40"/>
        <v>14.499736363636362</v>
      </c>
      <c r="O73" s="13"/>
      <c r="P73" s="1">
        <f>SUM(OSRRefP22_13x_0)</f>
        <v>41854.03</v>
      </c>
      <c r="Q73" s="1"/>
      <c r="R73" s="5">
        <f t="shared" si="41"/>
        <v>0.10912761330253547</v>
      </c>
      <c r="S73" s="1"/>
      <c r="T73" s="1">
        <f>SUM(OSRRefT22_13x_0)</f>
        <v>22063</v>
      </c>
      <c r="U73" s="1"/>
      <c r="V73" s="5">
        <f t="shared" si="42"/>
        <v>0.1135798528707703</v>
      </c>
      <c r="W73" s="1"/>
      <c r="X73" s="1">
        <f t="shared" si="43"/>
        <v>19791.03</v>
      </c>
      <c r="Y73" s="1"/>
      <c r="Z73" s="5">
        <f t="shared" si="44"/>
        <v>0.89702352354620851</v>
      </c>
    </row>
    <row r="74" spans="1:26" s="24" customFormat="1" hidden="1" outlineLevel="2" x14ac:dyDescent="0.25">
      <c r="A74" s="26"/>
      <c r="B74" s="11" t="str">
        <f>CONCATENATE("          ", "6371", " - ", "COMPUTER SOFTWARE MAINTENANCE")</f>
        <v xml:space="preserve">          6371 - COMPUTER SOFTWARE MAINTENANCE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702.27</v>
      </c>
      <c r="Q74" s="2"/>
      <c r="R74" s="6">
        <f t="shared" si="41"/>
        <v>1.8310554322719121E-3</v>
      </c>
      <c r="S74" s="2"/>
      <c r="T74" s="7">
        <v>0</v>
      </c>
      <c r="U74" s="2"/>
      <c r="V74" s="6">
        <f t="shared" si="42"/>
        <v>0</v>
      </c>
      <c r="W74" s="2"/>
      <c r="X74" s="7">
        <f t="shared" si="43"/>
        <v>702.27</v>
      </c>
      <c r="Y74" s="2"/>
      <c r="Z74" s="6">
        <f t="shared" si="44"/>
        <v>0</v>
      </c>
    </row>
    <row r="75" spans="1:26" s="24" customFormat="1" hidden="1" outlineLevel="2" x14ac:dyDescent="0.25">
      <c r="A75" s="26"/>
      <c r="B75" s="11" t="str">
        <f>CONCATENATE("          ", "6372", " - ", "COMPUTER HARDWARE MAINTENANCE")</f>
        <v xml:space="preserve">          6372 - COMPUTER HARDWARE MAINTENANCE</v>
      </c>
      <c r="C75" s="11"/>
      <c r="D75" s="7">
        <v>100</v>
      </c>
      <c r="E75" s="2"/>
      <c r="F75" s="6">
        <f t="shared" si="37"/>
        <v>1.7462829058636513E-3</v>
      </c>
      <c r="G75" s="2"/>
      <c r="H75" s="7"/>
      <c r="I75" s="2"/>
      <c r="J75" s="6">
        <f t="shared" si="38"/>
        <v>0</v>
      </c>
      <c r="K75" s="2"/>
      <c r="L75" s="7">
        <f t="shared" si="39"/>
        <v>100</v>
      </c>
      <c r="M75" s="2"/>
      <c r="N75" s="6">
        <f t="shared" si="40"/>
        <v>0</v>
      </c>
      <c r="O75" s="11"/>
      <c r="P75" s="7">
        <v>100</v>
      </c>
      <c r="Q75" s="2"/>
      <c r="R75" s="6">
        <f t="shared" si="41"/>
        <v>2.6073382492088689E-4</v>
      </c>
      <c r="S75" s="2"/>
      <c r="T75" s="7">
        <v>0</v>
      </c>
      <c r="U75" s="2"/>
      <c r="V75" s="6">
        <f t="shared" si="42"/>
        <v>0</v>
      </c>
      <c r="W75" s="2"/>
      <c r="X75" s="7">
        <f t="shared" si="43"/>
        <v>100</v>
      </c>
      <c r="Y75" s="2"/>
      <c r="Z75" s="6">
        <f t="shared" si="44"/>
        <v>0</v>
      </c>
    </row>
    <row r="76" spans="1:26" s="24" customFormat="1" hidden="1" outlineLevel="2" x14ac:dyDescent="0.25">
      <c r="A76" s="26"/>
      <c r="B76" s="11" t="str">
        <f>CONCATENATE("          ", "6373", " - ", "MAINTENANCE CONTRACTS")</f>
        <v xml:space="preserve">          6373 - MAINTENANCE CONTRACTS</v>
      </c>
      <c r="C76" s="11"/>
      <c r="D76" s="7">
        <v>7202.36</v>
      </c>
      <c r="E76" s="2"/>
      <c r="F76" s="6">
        <f t="shared" si="37"/>
        <v>0.12577358149876128</v>
      </c>
      <c r="G76" s="2"/>
      <c r="H76" s="7">
        <v>0</v>
      </c>
      <c r="I76" s="2"/>
      <c r="J76" s="6">
        <f t="shared" si="38"/>
        <v>0</v>
      </c>
      <c r="K76" s="2"/>
      <c r="L76" s="7">
        <f t="shared" si="39"/>
        <v>7202.36</v>
      </c>
      <c r="M76" s="2"/>
      <c r="N76" s="6">
        <f t="shared" si="40"/>
        <v>0</v>
      </c>
      <c r="O76" s="11"/>
      <c r="P76" s="7">
        <v>18223.8</v>
      </c>
      <c r="Q76" s="2"/>
      <c r="R76" s="6">
        <f t="shared" si="41"/>
        <v>4.7515610785932576E-2</v>
      </c>
      <c r="S76" s="2"/>
      <c r="T76" s="7">
        <v>3769</v>
      </c>
      <c r="U76" s="2"/>
      <c r="V76" s="6">
        <f t="shared" si="42"/>
        <v>1.9402731517469667E-2</v>
      </c>
      <c r="W76" s="2"/>
      <c r="X76" s="7">
        <f t="shared" si="43"/>
        <v>14454.8</v>
      </c>
      <c r="Y76" s="2"/>
      <c r="Z76" s="6">
        <f t="shared" si="44"/>
        <v>3.8351817458211723</v>
      </c>
    </row>
    <row r="77" spans="1:26" s="24" customFormat="1" hidden="1" outlineLevel="2" x14ac:dyDescent="0.25">
      <c r="A77" s="26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9747.35</v>
      </c>
      <c r="E77" s="2"/>
      <c r="F77" s="6">
        <f t="shared" si="37"/>
        <v>0.17021630682470063</v>
      </c>
      <c r="G77" s="2"/>
      <c r="H77" s="7">
        <v>1100</v>
      </c>
      <c r="I77" s="2"/>
      <c r="J77" s="6">
        <f t="shared" si="38"/>
        <v>3.559755347723375E-2</v>
      </c>
      <c r="K77" s="2"/>
      <c r="L77" s="7">
        <f t="shared" si="39"/>
        <v>8647.35</v>
      </c>
      <c r="M77" s="2"/>
      <c r="N77" s="6">
        <f t="shared" si="40"/>
        <v>7.8612272727272732</v>
      </c>
      <c r="O77" s="11"/>
      <c r="P77" s="7">
        <v>22827.96</v>
      </c>
      <c r="Q77" s="2"/>
      <c r="R77" s="6">
        <f t="shared" si="41"/>
        <v>5.9520213259410079E-2</v>
      </c>
      <c r="S77" s="2"/>
      <c r="T77" s="7">
        <v>18294</v>
      </c>
      <c r="U77" s="2"/>
      <c r="V77" s="6">
        <f t="shared" si="42"/>
        <v>9.4177121353300627E-2</v>
      </c>
      <c r="W77" s="2"/>
      <c r="X77" s="7">
        <f t="shared" si="43"/>
        <v>4533.9599999999991</v>
      </c>
      <c r="Y77" s="2"/>
      <c r="Z77" s="6">
        <f t="shared" si="44"/>
        <v>0.24783863561823544</v>
      </c>
    </row>
    <row r="78" spans="1:26" s="25" customFormat="1" outlineLevel="1" collapsed="1" x14ac:dyDescent="0.25">
      <c r="A78" s="27"/>
      <c r="B78" s="13" t="str">
        <f>CONCATENATE("     ","Royalty &amp; Commissions                             ")</f>
        <v xml:space="preserve">     Royalty &amp; Commissions                             </v>
      </c>
      <c r="C78" s="13"/>
      <c r="D78" s="1">
        <f>SUM(OSRRefD22_14x_0)</f>
        <v>0</v>
      </c>
      <c r="E78" s="1"/>
      <c r="F78" s="5">
        <f t="shared" ref="F78:F80" si="45">IF(D$12=0,0,D78/D$12)</f>
        <v>0</v>
      </c>
      <c r="G78" s="1"/>
      <c r="H78" s="1">
        <f>SUM(OSRRefH22_14x_0)</f>
        <v>0</v>
      </c>
      <c r="I78" s="1"/>
      <c r="J78" s="5">
        <f t="shared" ref="J78:J80" si="46">IF(H$12=0,0,H78/H$12)</f>
        <v>0</v>
      </c>
      <c r="K78" s="1"/>
      <c r="L78" s="1">
        <f t="shared" ref="L78:L80" si="47">+D78-H78</f>
        <v>0</v>
      </c>
      <c r="M78" s="1"/>
      <c r="N78" s="5">
        <f t="shared" ref="N78:N80" si="48">IF(H78=0,0,L78/H78)</f>
        <v>0</v>
      </c>
      <c r="O78" s="13"/>
      <c r="P78" s="1">
        <f>SUM(OSRRefP22_14x_0)</f>
        <v>0</v>
      </c>
      <c r="Q78" s="1"/>
      <c r="R78" s="5">
        <f t="shared" ref="R78:R80" si="49">IF(P$12=0,0,P78/P$12)</f>
        <v>0</v>
      </c>
      <c r="S78" s="1"/>
      <c r="T78" s="1">
        <f>SUM(OSRRefT22_14x_0)</f>
        <v>0</v>
      </c>
      <c r="U78" s="1"/>
      <c r="V78" s="5">
        <f t="shared" ref="V78:V80" si="50">IF(T$12=0,0,T78/T$12)</f>
        <v>0</v>
      </c>
      <c r="W78" s="1"/>
      <c r="X78" s="1">
        <f t="shared" ref="X78:X80" si="51">+P78-T78</f>
        <v>0</v>
      </c>
      <c r="Y78" s="1"/>
      <c r="Z78" s="5">
        <f t="shared" ref="Z78:Z80" si="52">IF(T78=0,0,X78/T78)</f>
        <v>0</v>
      </c>
    </row>
    <row r="79" spans="1:26" s="24" customFormat="1" hidden="1" outlineLevel="2" x14ac:dyDescent="0.25">
      <c r="A79" s="26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45"/>
        <v>0</v>
      </c>
      <c r="G79" s="2"/>
      <c r="H79" s="7">
        <v>0</v>
      </c>
      <c r="I79" s="2"/>
      <c r="J79" s="6">
        <f t="shared" si="46"/>
        <v>0</v>
      </c>
      <c r="K79" s="2"/>
      <c r="L79" s="7">
        <f t="shared" si="47"/>
        <v>0</v>
      </c>
      <c r="M79" s="2"/>
      <c r="N79" s="6">
        <f t="shared" si="48"/>
        <v>0</v>
      </c>
      <c r="O79" s="11"/>
      <c r="P79" s="7"/>
      <c r="Q79" s="2"/>
      <c r="R79" s="6">
        <f t="shared" si="49"/>
        <v>0</v>
      </c>
      <c r="S79" s="2"/>
      <c r="T79" s="7">
        <v>0</v>
      </c>
      <c r="U79" s="2"/>
      <c r="V79" s="6">
        <f t="shared" si="50"/>
        <v>0</v>
      </c>
      <c r="W79" s="2"/>
      <c r="X79" s="7">
        <f t="shared" si="51"/>
        <v>0</v>
      </c>
      <c r="Y79" s="2"/>
      <c r="Z79" s="6">
        <f t="shared" si="52"/>
        <v>0</v>
      </c>
    </row>
    <row r="80" spans="1:26" s="24" customFormat="1" hidden="1" outlineLevel="2" x14ac:dyDescent="0.25">
      <c r="A80" s="26"/>
      <c r="B80" s="11" t="str">
        <f>CONCATENATE("          ", "6259", " - ", "ROYALTY &amp; COMMISSIONS")</f>
        <v xml:space="preserve">          6259 - ROYALTY &amp; COMMISSIONS</v>
      </c>
      <c r="C80" s="11"/>
      <c r="D80" s="7"/>
      <c r="E80" s="2"/>
      <c r="F80" s="6">
        <f t="shared" si="45"/>
        <v>0</v>
      </c>
      <c r="G80" s="2"/>
      <c r="H80" s="7">
        <v>0</v>
      </c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/>
      <c r="Q80" s="2"/>
      <c r="R80" s="6">
        <f t="shared" si="49"/>
        <v>0</v>
      </c>
      <c r="S80" s="2"/>
      <c r="T80" s="7">
        <v>0</v>
      </c>
      <c r="U80" s="2"/>
      <c r="V80" s="6">
        <f t="shared" si="50"/>
        <v>0</v>
      </c>
      <c r="W80" s="2"/>
      <c r="X80" s="7">
        <f t="shared" si="51"/>
        <v>0</v>
      </c>
      <c r="Y80" s="2"/>
      <c r="Z80" s="6">
        <f t="shared" si="52"/>
        <v>0</v>
      </c>
    </row>
    <row r="81" spans="1:26" s="25" customFormat="1" outlineLevel="1" collapsed="1" x14ac:dyDescent="0.25">
      <c r="A81" s="27"/>
      <c r="B81" s="13" t="str">
        <f>CONCATENATE("     ","Services                                          ")</f>
        <v xml:space="preserve">     Services                                          </v>
      </c>
      <c r="C81" s="13"/>
      <c r="D81" s="1">
        <f>SUM(OSRRefD22_15x_0)</f>
        <v>-5689.18</v>
      </c>
      <c r="E81" s="1"/>
      <c r="F81" s="5">
        <f t="shared" ref="F81:F86" si="53">IF(D$12=0,0,D81/D$12)</f>
        <v>-9.9349177823813681E-2</v>
      </c>
      <c r="G81" s="1"/>
      <c r="H81" s="1">
        <f>SUM(OSRRefH22_15x_0)</f>
        <v>7585</v>
      </c>
      <c r="I81" s="1"/>
      <c r="J81" s="5">
        <f t="shared" ref="J81:J86" si="54">IF(H$12=0,0,H81/H$12)</f>
        <v>0.24546131193165269</v>
      </c>
      <c r="K81" s="1"/>
      <c r="L81" s="1">
        <f t="shared" ref="L81:L86" si="55">+D81-H81</f>
        <v>-13274.18</v>
      </c>
      <c r="M81" s="1"/>
      <c r="N81" s="5">
        <f t="shared" ref="N81:N86" si="56">IF(H81=0,0,L81/H81)</f>
        <v>-1.7500566908371786</v>
      </c>
      <c r="O81" s="13"/>
      <c r="P81" s="1">
        <f>SUM(OSRRefP22_15x_0)</f>
        <v>44416.71</v>
      </c>
      <c r="Q81" s="1"/>
      <c r="R81" s="5">
        <f t="shared" ref="R81:R86" si="57">IF(P$12=0,0,P81/P$12)</f>
        <v>0.11580938688701804</v>
      </c>
      <c r="S81" s="1"/>
      <c r="T81" s="1">
        <f>SUM(OSRRefT22_15x_0)</f>
        <v>65892</v>
      </c>
      <c r="U81" s="1"/>
      <c r="V81" s="5">
        <f t="shared" ref="V81:V86" si="58">IF(T$12=0,0,T81/T$12)</f>
        <v>0.33921060895439403</v>
      </c>
      <c r="W81" s="1"/>
      <c r="X81" s="1">
        <f t="shared" ref="X81:X86" si="59">+P81-T81</f>
        <v>-21475.29</v>
      </c>
      <c r="Y81" s="1"/>
      <c r="Z81" s="5">
        <f t="shared" ref="Z81:Z86" si="60">IF(T81=0,0,X81/T81)</f>
        <v>-0.32591649972682574</v>
      </c>
    </row>
    <row r="82" spans="1:26" s="24" customFormat="1" hidden="1" outlineLevel="2" x14ac:dyDescent="0.25">
      <c r="A82" s="26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1581.06</v>
      </c>
      <c r="E82" s="2"/>
      <c r="F82" s="6">
        <f t="shared" si="53"/>
        <v>2.7609780511447846E-2</v>
      </c>
      <c r="G82" s="2"/>
      <c r="H82" s="7">
        <v>1283</v>
      </c>
      <c r="I82" s="2"/>
      <c r="J82" s="6">
        <f t="shared" si="54"/>
        <v>4.151969191935536E-2</v>
      </c>
      <c r="K82" s="2"/>
      <c r="L82" s="7">
        <f t="shared" si="55"/>
        <v>298.05999999999995</v>
      </c>
      <c r="M82" s="2"/>
      <c r="N82" s="6">
        <f t="shared" si="56"/>
        <v>0.23231488698363206</v>
      </c>
      <c r="O82" s="11"/>
      <c r="P82" s="7">
        <v>8405.43</v>
      </c>
      <c r="Q82" s="2"/>
      <c r="R82" s="6">
        <f t="shared" si="57"/>
        <v>2.1915799140047702E-2</v>
      </c>
      <c r="S82" s="2"/>
      <c r="T82" s="7">
        <v>9549</v>
      </c>
      <c r="U82" s="2"/>
      <c r="V82" s="6">
        <f t="shared" si="58"/>
        <v>4.9158048092416515E-2</v>
      </c>
      <c r="W82" s="2"/>
      <c r="X82" s="7">
        <f t="shared" si="59"/>
        <v>-1143.5699999999997</v>
      </c>
      <c r="Y82" s="2"/>
      <c r="Z82" s="6">
        <f t="shared" si="60"/>
        <v>-0.11975808985234053</v>
      </c>
    </row>
    <row r="83" spans="1:26" s="24" customFormat="1" hidden="1" outlineLevel="2" x14ac:dyDescent="0.25">
      <c r="A83" s="26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53"/>
        <v>0</v>
      </c>
      <c r="G83" s="2"/>
      <c r="H83" s="7">
        <v>0</v>
      </c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310</v>
      </c>
      <c r="U83" s="2"/>
      <c r="V83" s="6">
        <f t="shared" si="58"/>
        <v>1.5958733803172185E-3</v>
      </c>
      <c r="W83" s="2"/>
      <c r="X83" s="7">
        <f t="shared" si="59"/>
        <v>-310</v>
      </c>
      <c r="Y83" s="2"/>
      <c r="Z83" s="6">
        <f t="shared" si="60"/>
        <v>-1</v>
      </c>
    </row>
    <row r="84" spans="1:26" s="24" customFormat="1" hidden="1" outlineLevel="2" x14ac:dyDescent="0.25">
      <c r="A84" s="26"/>
      <c r="B84" s="11" t="str">
        <f>CONCATENATE("          ", "6284", " - ", "TRASH REMOVAL EXPENSE")</f>
        <v xml:space="preserve">          6284 - TRASH REMOVAL EXPENSE</v>
      </c>
      <c r="C84" s="11"/>
      <c r="D84" s="7">
        <v>-8963</v>
      </c>
      <c r="E84" s="2"/>
      <c r="F84" s="6">
        <f t="shared" si="53"/>
        <v>-0.15651933685255906</v>
      </c>
      <c r="G84" s="2"/>
      <c r="H84" s="7">
        <v>3261</v>
      </c>
      <c r="I84" s="2"/>
      <c r="J84" s="6">
        <f t="shared" si="54"/>
        <v>0.10553056535387205</v>
      </c>
      <c r="K84" s="2"/>
      <c r="L84" s="7">
        <f t="shared" si="55"/>
        <v>-12224</v>
      </c>
      <c r="M84" s="2"/>
      <c r="N84" s="6">
        <f t="shared" si="56"/>
        <v>-3.7485433915976696</v>
      </c>
      <c r="O84" s="11"/>
      <c r="P84" s="7">
        <v>20643</v>
      </c>
      <c r="Q84" s="2"/>
      <c r="R84" s="6">
        <f t="shared" si="57"/>
        <v>5.3823283478418672E-2</v>
      </c>
      <c r="S84" s="2"/>
      <c r="T84" s="7">
        <v>27141</v>
      </c>
      <c r="U84" s="2"/>
      <c r="V84" s="6">
        <f t="shared" si="58"/>
        <v>0.13972128843609558</v>
      </c>
      <c r="W84" s="2"/>
      <c r="X84" s="7">
        <f t="shared" si="59"/>
        <v>-6498</v>
      </c>
      <c r="Y84" s="2"/>
      <c r="Z84" s="6">
        <f t="shared" si="60"/>
        <v>-0.23941638112081354</v>
      </c>
    </row>
    <row r="85" spans="1:26" s="24" customFormat="1" hidden="1" outlineLevel="2" x14ac:dyDescent="0.25">
      <c r="A85" s="26"/>
      <c r="B85" s="11" t="str">
        <f>CONCATENATE("          ", "6285", " - ", "JANITORIAL SERVICES")</f>
        <v xml:space="preserve">          6285 - JANITORIAL SERVICES</v>
      </c>
      <c r="C85" s="11"/>
      <c r="D85" s="7">
        <v>1692.76</v>
      </c>
      <c r="E85" s="2"/>
      <c r="F85" s="6">
        <f t="shared" si="53"/>
        <v>2.9560378517297543E-2</v>
      </c>
      <c r="G85" s="2"/>
      <c r="H85" s="7">
        <v>3041</v>
      </c>
      <c r="I85" s="2"/>
      <c r="J85" s="6">
        <f t="shared" si="54"/>
        <v>9.8411054658425298E-2</v>
      </c>
      <c r="K85" s="2"/>
      <c r="L85" s="7">
        <f t="shared" si="55"/>
        <v>-1348.24</v>
      </c>
      <c r="M85" s="2"/>
      <c r="N85" s="6">
        <f t="shared" si="56"/>
        <v>-0.44335415981585008</v>
      </c>
      <c r="O85" s="11"/>
      <c r="P85" s="7">
        <v>14463.57</v>
      </c>
      <c r="Q85" s="2"/>
      <c r="R85" s="6">
        <f t="shared" si="57"/>
        <v>3.7711419281109916E-2</v>
      </c>
      <c r="S85" s="2"/>
      <c r="T85" s="7">
        <v>28892</v>
      </c>
      <c r="U85" s="2"/>
      <c r="V85" s="6">
        <f t="shared" si="58"/>
        <v>0.14873539904556476</v>
      </c>
      <c r="W85" s="2"/>
      <c r="X85" s="7">
        <f t="shared" si="59"/>
        <v>-14428.43</v>
      </c>
      <c r="Y85" s="2"/>
      <c r="Z85" s="6">
        <f t="shared" si="60"/>
        <v>-0.49939187318288802</v>
      </c>
    </row>
    <row r="86" spans="1:26" s="24" customFormat="1" hidden="1" outlineLevel="2" x14ac:dyDescent="0.25">
      <c r="A86" s="26"/>
      <c r="B86" s="11" t="str">
        <f>CONCATENATE("          ", "6286", " - ", "LAUNDRY EXPENSE")</f>
        <v xml:space="preserve">          6286 - LAUNDRY EXPENSE</v>
      </c>
      <c r="C86" s="11"/>
      <c r="D86" s="7"/>
      <c r="E86" s="2"/>
      <c r="F86" s="6">
        <f t="shared" si="53"/>
        <v>0</v>
      </c>
      <c r="G86" s="2"/>
      <c r="H86" s="7">
        <v>0</v>
      </c>
      <c r="I86" s="2"/>
      <c r="J86" s="6">
        <f t="shared" si="54"/>
        <v>0</v>
      </c>
      <c r="K86" s="2"/>
      <c r="L86" s="7">
        <f t="shared" si="55"/>
        <v>0</v>
      </c>
      <c r="M86" s="2"/>
      <c r="N86" s="6">
        <f t="shared" si="56"/>
        <v>0</v>
      </c>
      <c r="O86" s="11"/>
      <c r="P86" s="7">
        <v>904.71</v>
      </c>
      <c r="Q86" s="2"/>
      <c r="R86" s="6">
        <f t="shared" si="57"/>
        <v>2.3588849874417554E-3</v>
      </c>
      <c r="S86" s="2"/>
      <c r="T86" s="7">
        <v>0</v>
      </c>
      <c r="U86" s="2"/>
      <c r="V86" s="6">
        <f t="shared" si="58"/>
        <v>0</v>
      </c>
      <c r="W86" s="2"/>
      <c r="X86" s="7">
        <f t="shared" si="59"/>
        <v>904.71</v>
      </c>
      <c r="Y86" s="2"/>
      <c r="Z86" s="6">
        <f t="shared" si="60"/>
        <v>0</v>
      </c>
    </row>
    <row r="87" spans="1:26" s="25" customFormat="1" outlineLevel="1" collapsed="1" x14ac:dyDescent="0.25">
      <c r="A87" s="27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SUM(OSRRefD22_16x_0)</f>
        <v>119.07</v>
      </c>
      <c r="E87" s="1"/>
      <c r="F87" s="5">
        <f t="shared" ref="F87:F89" si="61">IF(D$12=0,0,D87/D$12)</f>
        <v>2.0792990560118494E-3</v>
      </c>
      <c r="G87" s="1"/>
      <c r="H87" s="1">
        <f>SUM(OSRRefH22_16x_0)</f>
        <v>200</v>
      </c>
      <c r="I87" s="1"/>
      <c r="J87" s="5">
        <f t="shared" ref="J87:J89" si="62">IF(H$12=0,0,H87/H$12)</f>
        <v>6.4722824504061353E-3</v>
      </c>
      <c r="K87" s="1"/>
      <c r="L87" s="1">
        <f t="shared" ref="L87:L89" si="63">+D87-H87</f>
        <v>-80.930000000000007</v>
      </c>
      <c r="M87" s="1"/>
      <c r="N87" s="5">
        <f t="shared" ref="N87:N89" si="64">IF(H87=0,0,L87/H87)</f>
        <v>-0.40465000000000001</v>
      </c>
      <c r="O87" s="13"/>
      <c r="P87" s="1">
        <f>SUM(OSRRefP22_16x_0)</f>
        <v>916.08</v>
      </c>
      <c r="Q87" s="1"/>
      <c r="R87" s="5">
        <f t="shared" ref="R87:R89" si="65">IF(P$12=0,0,P87/P$12)</f>
        <v>2.3885304233352603E-3</v>
      </c>
      <c r="S87" s="1"/>
      <c r="T87" s="1">
        <f>SUM(OSRRefT22_16x_0)</f>
        <v>2681</v>
      </c>
      <c r="U87" s="1"/>
      <c r="V87" s="5">
        <f t="shared" ref="V87:V89" si="66">IF(T$12=0,0,T87/T$12)</f>
        <v>1.3801730750420847E-2</v>
      </c>
      <c r="W87" s="1"/>
      <c r="X87" s="1">
        <f t="shared" ref="X87:X89" si="67">+P87-T87</f>
        <v>-1764.92</v>
      </c>
      <c r="Y87" s="1"/>
      <c r="Z87" s="5">
        <f t="shared" ref="Z87:Z89" si="68">IF(T87=0,0,X87/T87)</f>
        <v>-0.65830660201417379</v>
      </c>
    </row>
    <row r="88" spans="1:26" s="24" customFormat="1" hidden="1" outlineLevel="2" x14ac:dyDescent="0.25">
      <c r="A88" s="26"/>
      <c r="B88" s="11" t="str">
        <f>CONCATENATE("          ", "6258", " - ", "MEMBERSHIP DUES")</f>
        <v xml:space="preserve">          6258 - MEMBERSHIP DUES</v>
      </c>
      <c r="C88" s="11"/>
      <c r="D88" s="7"/>
      <c r="E88" s="2"/>
      <c r="F88" s="6">
        <f t="shared" si="61"/>
        <v>0</v>
      </c>
      <c r="G88" s="2"/>
      <c r="H88" s="7"/>
      <c r="I88" s="2"/>
      <c r="J88" s="6">
        <f t="shared" si="62"/>
        <v>0</v>
      </c>
      <c r="K88" s="2"/>
      <c r="L88" s="7">
        <f t="shared" si="63"/>
        <v>0</v>
      </c>
      <c r="M88" s="2"/>
      <c r="N88" s="6">
        <f t="shared" si="64"/>
        <v>0</v>
      </c>
      <c r="O88" s="11"/>
      <c r="P88" s="7"/>
      <c r="Q88" s="2"/>
      <c r="R88" s="6">
        <f t="shared" si="65"/>
        <v>0</v>
      </c>
      <c r="S88" s="2"/>
      <c r="T88" s="7">
        <v>900</v>
      </c>
      <c r="U88" s="2"/>
      <c r="V88" s="6">
        <f t="shared" si="66"/>
        <v>4.633180781566118E-3</v>
      </c>
      <c r="W88" s="2"/>
      <c r="X88" s="7">
        <f t="shared" si="67"/>
        <v>-900</v>
      </c>
      <c r="Y88" s="2"/>
      <c r="Z88" s="6">
        <f t="shared" si="68"/>
        <v>-1</v>
      </c>
    </row>
    <row r="89" spans="1:26" s="24" customFormat="1" hidden="1" outlineLevel="2" x14ac:dyDescent="0.25">
      <c r="A89" s="26"/>
      <c r="B89" s="11" t="str">
        <f>CONCATENATE("          ", "6275", " - ", "SUBSCRIPTIONS")</f>
        <v xml:space="preserve">          6275 - SUBSCRIPTIONS</v>
      </c>
      <c r="C89" s="11"/>
      <c r="D89" s="7">
        <v>119.07</v>
      </c>
      <c r="E89" s="2"/>
      <c r="F89" s="6">
        <f t="shared" si="61"/>
        <v>2.0792990560118494E-3</v>
      </c>
      <c r="G89" s="2"/>
      <c r="H89" s="7">
        <v>200</v>
      </c>
      <c r="I89" s="2"/>
      <c r="J89" s="6">
        <f t="shared" si="62"/>
        <v>6.4722824504061353E-3</v>
      </c>
      <c r="K89" s="2"/>
      <c r="L89" s="7">
        <f t="shared" si="63"/>
        <v>-80.930000000000007</v>
      </c>
      <c r="M89" s="2"/>
      <c r="N89" s="6">
        <f t="shared" si="64"/>
        <v>-0.40465000000000001</v>
      </c>
      <c r="O89" s="11"/>
      <c r="P89" s="7">
        <v>916.08</v>
      </c>
      <c r="Q89" s="2"/>
      <c r="R89" s="6">
        <f t="shared" si="65"/>
        <v>2.3885304233352603E-3</v>
      </c>
      <c r="S89" s="2"/>
      <c r="T89" s="7">
        <v>1781</v>
      </c>
      <c r="U89" s="2"/>
      <c r="V89" s="6">
        <f t="shared" si="66"/>
        <v>9.1685499688547289E-3</v>
      </c>
      <c r="W89" s="2"/>
      <c r="X89" s="7">
        <f t="shared" si="67"/>
        <v>-864.92</v>
      </c>
      <c r="Y89" s="2"/>
      <c r="Z89" s="6">
        <f t="shared" si="68"/>
        <v>-0.48563728242560356</v>
      </c>
    </row>
    <row r="90" spans="1:26" s="25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SUM(OSRRefD22_17x_0)</f>
        <v>94.92</v>
      </c>
      <c r="E90" s="1"/>
      <c r="F90" s="5">
        <f t="shared" ref="F90:F101" si="69">IF(D$12=0,0,D90/D$12)</f>
        <v>1.6575717342457779E-3</v>
      </c>
      <c r="G90" s="1"/>
      <c r="H90" s="1">
        <f>SUM(OSRRefH22_17x_0)</f>
        <v>1375</v>
      </c>
      <c r="I90" s="1"/>
      <c r="J90" s="5">
        <f t="shared" ref="J90:J101" si="70">IF(H$12=0,0,H90/H$12)</f>
        <v>4.4496941846542182E-2</v>
      </c>
      <c r="K90" s="1"/>
      <c r="L90" s="1">
        <f t="shared" ref="L90:L101" si="71">+D90-H90</f>
        <v>-1280.08</v>
      </c>
      <c r="M90" s="1"/>
      <c r="N90" s="5">
        <f t="shared" ref="N90:N101" si="72">IF(H90=0,0,L90/H90)</f>
        <v>-0.93096727272727264</v>
      </c>
      <c r="O90" s="13"/>
      <c r="P90" s="1">
        <f>SUM(OSRRefP22_17x_0)</f>
        <v>-21251.940000000002</v>
      </c>
      <c r="Q90" s="1"/>
      <c r="R90" s="5">
        <f t="shared" ref="R90:R101" si="73">IF(P$12=0,0,P90/P$12)</f>
        <v>-5.5410996031891931E-2</v>
      </c>
      <c r="S90" s="1"/>
      <c r="T90" s="1">
        <f>SUM(OSRRefT22_17x_0)</f>
        <v>21150</v>
      </c>
      <c r="U90" s="1"/>
      <c r="V90" s="5">
        <f t="shared" ref="V90:V101" si="74">IF(T$12=0,0,T90/T$12)</f>
        <v>0.10887974836680378</v>
      </c>
      <c r="W90" s="1"/>
      <c r="X90" s="1">
        <f t="shared" ref="X90:X101" si="75">+P90-T90</f>
        <v>-42401.94</v>
      </c>
      <c r="Y90" s="1"/>
      <c r="Z90" s="5">
        <f t="shared" ref="Z90:Z101" si="76">IF(T90=0,0,X90/T90)</f>
        <v>-2.0048198581560284</v>
      </c>
    </row>
    <row r="91" spans="1:26" s="24" customFormat="1" hidden="1" outlineLevel="2" x14ac:dyDescent="0.25">
      <c r="A91" s="26"/>
      <c r="B91" s="11" t="str">
        <f>CONCATENATE("          ", "6234", " - ", "EXPENDABLE SUPPLIES &amp; EQUIPMEN")</f>
        <v xml:space="preserve">          6234 - EXPENDABLE SUPPLIES &amp; EQUIPMEN</v>
      </c>
      <c r="C91" s="11"/>
      <c r="D91" s="7"/>
      <c r="E91" s="2"/>
      <c r="F91" s="6">
        <f t="shared" si="69"/>
        <v>0</v>
      </c>
      <c r="G91" s="2"/>
      <c r="H91" s="7"/>
      <c r="I91" s="2"/>
      <c r="J91" s="6">
        <f t="shared" si="70"/>
        <v>0</v>
      </c>
      <c r="K91" s="2"/>
      <c r="L91" s="7">
        <f t="shared" si="71"/>
        <v>0</v>
      </c>
      <c r="M91" s="2"/>
      <c r="N91" s="6">
        <f t="shared" si="72"/>
        <v>0</v>
      </c>
      <c r="O91" s="11"/>
      <c r="P91" s="7">
        <v>310.91000000000003</v>
      </c>
      <c r="Q91" s="2"/>
      <c r="R91" s="6">
        <f t="shared" si="73"/>
        <v>8.1064753506152943E-4</v>
      </c>
      <c r="S91" s="2"/>
      <c r="T91" s="7">
        <v>1076</v>
      </c>
      <c r="U91" s="2"/>
      <c r="V91" s="6">
        <f t="shared" si="74"/>
        <v>5.5392250232946033E-3</v>
      </c>
      <c r="W91" s="2"/>
      <c r="X91" s="7">
        <f t="shared" si="75"/>
        <v>-765.08999999999992</v>
      </c>
      <c r="Y91" s="2"/>
      <c r="Z91" s="6">
        <f t="shared" si="76"/>
        <v>-0.71105018587360591</v>
      </c>
    </row>
    <row r="92" spans="1:26" s="24" customFormat="1" hidden="1" outlineLevel="2" x14ac:dyDescent="0.25">
      <c r="A92" s="26"/>
      <c r="B92" s="11" t="str">
        <f>CONCATENATE("          ", "6235", " - ", "COVID-19 EXPENSES")</f>
        <v xml:space="preserve">          6235 - COVID-19 EXPENSES</v>
      </c>
      <c r="C92" s="11"/>
      <c r="D92" s="7"/>
      <c r="E92" s="2"/>
      <c r="F92" s="6">
        <f t="shared" si="69"/>
        <v>0</v>
      </c>
      <c r="G92" s="2"/>
      <c r="H92" s="7">
        <v>0</v>
      </c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>
        <v>6881.86</v>
      </c>
      <c r="Q92" s="2"/>
      <c r="R92" s="6">
        <f t="shared" si="73"/>
        <v>1.7943336803700544E-2</v>
      </c>
      <c r="S92" s="2"/>
      <c r="T92" s="7">
        <v>0</v>
      </c>
      <c r="U92" s="2"/>
      <c r="V92" s="6">
        <f t="shared" si="74"/>
        <v>0</v>
      </c>
      <c r="W92" s="2"/>
      <c r="X92" s="7">
        <f t="shared" si="75"/>
        <v>6881.86</v>
      </c>
      <c r="Y92" s="2"/>
      <c r="Z92" s="6">
        <f t="shared" si="76"/>
        <v>0</v>
      </c>
    </row>
    <row r="93" spans="1:26" s="24" customFormat="1" hidden="1" outlineLevel="2" x14ac:dyDescent="0.25">
      <c r="A93" s="26"/>
      <c r="B93" s="11" t="str">
        <f>CONCATENATE("          ", "6237", " - ", "JANITORIAL SUPPLIES")</f>
        <v xml:space="preserve">          6237 - JANITORIAL SUPPLIES</v>
      </c>
      <c r="C93" s="11"/>
      <c r="D93" s="7"/>
      <c r="E93" s="2"/>
      <c r="F93" s="6">
        <f t="shared" si="69"/>
        <v>0</v>
      </c>
      <c r="G93" s="2"/>
      <c r="H93" s="7">
        <v>600</v>
      </c>
      <c r="I93" s="2"/>
      <c r="J93" s="6">
        <f t="shared" si="70"/>
        <v>1.9416847351218406E-2</v>
      </c>
      <c r="K93" s="2"/>
      <c r="L93" s="7">
        <f t="shared" si="71"/>
        <v>-600</v>
      </c>
      <c r="M93" s="2"/>
      <c r="N93" s="6">
        <f t="shared" si="72"/>
        <v>-1</v>
      </c>
      <c r="O93" s="11"/>
      <c r="P93" s="7">
        <v>358.91</v>
      </c>
      <c r="Q93" s="2"/>
      <c r="R93" s="6">
        <f t="shared" si="73"/>
        <v>9.3579977102355508E-4</v>
      </c>
      <c r="S93" s="2"/>
      <c r="T93" s="7">
        <v>8449</v>
      </c>
      <c r="U93" s="2"/>
      <c r="V93" s="6">
        <f t="shared" si="74"/>
        <v>4.3495271581613482E-2</v>
      </c>
      <c r="W93" s="2"/>
      <c r="X93" s="7">
        <f t="shared" si="75"/>
        <v>-8090.09</v>
      </c>
      <c r="Y93" s="2"/>
      <c r="Z93" s="6">
        <f t="shared" si="76"/>
        <v>-0.95752041661735121</v>
      </c>
    </row>
    <row r="94" spans="1:26" s="24" customFormat="1" hidden="1" outlineLevel="2" x14ac:dyDescent="0.25">
      <c r="A94" s="26"/>
      <c r="B94" s="11" t="str">
        <f>CONCATENATE("          ", "6239", " - ", "KITCHEN SUPPLIES")</f>
        <v xml:space="preserve">          6239 - KITCHEN SUPPLIES</v>
      </c>
      <c r="C94" s="11"/>
      <c r="D94" s="7"/>
      <c r="E94" s="2"/>
      <c r="F94" s="6">
        <f t="shared" si="69"/>
        <v>0</v>
      </c>
      <c r="G94" s="2"/>
      <c r="H94" s="7">
        <v>50</v>
      </c>
      <c r="I94" s="2"/>
      <c r="J94" s="6">
        <f t="shared" si="70"/>
        <v>1.6180706126015338E-3</v>
      </c>
      <c r="K94" s="2"/>
      <c r="L94" s="7">
        <f t="shared" si="71"/>
        <v>-50</v>
      </c>
      <c r="M94" s="2"/>
      <c r="N94" s="6">
        <f t="shared" si="72"/>
        <v>-1</v>
      </c>
      <c r="O94" s="11"/>
      <c r="P94" s="7">
        <v>19.829999999999998</v>
      </c>
      <c r="Q94" s="2"/>
      <c r="R94" s="6">
        <f t="shared" si="73"/>
        <v>5.170351748181186E-5</v>
      </c>
      <c r="S94" s="2"/>
      <c r="T94" s="7">
        <v>393</v>
      </c>
      <c r="U94" s="2"/>
      <c r="V94" s="6">
        <f t="shared" si="74"/>
        <v>2.023155607950538E-3</v>
      </c>
      <c r="W94" s="2"/>
      <c r="X94" s="7">
        <f t="shared" si="75"/>
        <v>-373.17</v>
      </c>
      <c r="Y94" s="2"/>
      <c r="Z94" s="6">
        <f t="shared" si="76"/>
        <v>-0.94954198473282447</v>
      </c>
    </row>
    <row r="95" spans="1:26" s="24" customFormat="1" hidden="1" outlineLevel="2" x14ac:dyDescent="0.25">
      <c r="A95" s="26"/>
      <c r="B95" s="11" t="str">
        <f>CONCATENATE("          ", "6241", " - ", "OFFICE EXPENSE")</f>
        <v xml:space="preserve">          6241 - OFFICE EXPENSE</v>
      </c>
      <c r="C95" s="11"/>
      <c r="D95" s="7"/>
      <c r="E95" s="2"/>
      <c r="F95" s="6">
        <f t="shared" si="69"/>
        <v>0</v>
      </c>
      <c r="G95" s="2"/>
      <c r="H95" s="7">
        <v>125</v>
      </c>
      <c r="I95" s="2"/>
      <c r="J95" s="6">
        <f t="shared" si="70"/>
        <v>4.045176531503835E-3</v>
      </c>
      <c r="K95" s="2"/>
      <c r="L95" s="7">
        <f t="shared" si="71"/>
        <v>-125</v>
      </c>
      <c r="M95" s="2"/>
      <c r="N95" s="6">
        <f t="shared" si="72"/>
        <v>-1</v>
      </c>
      <c r="O95" s="11"/>
      <c r="P95" s="7">
        <v>-28983.86</v>
      </c>
      <c r="Q95" s="2"/>
      <c r="R95" s="6">
        <f t="shared" si="73"/>
        <v>-7.5570726787714967E-2</v>
      </c>
      <c r="S95" s="2"/>
      <c r="T95" s="7">
        <v>5587</v>
      </c>
      <c r="U95" s="2"/>
      <c r="V95" s="6">
        <f t="shared" si="74"/>
        <v>2.8761756696233223E-2</v>
      </c>
      <c r="W95" s="2"/>
      <c r="X95" s="7">
        <f t="shared" si="75"/>
        <v>-34570.86</v>
      </c>
      <c r="Y95" s="2"/>
      <c r="Z95" s="6">
        <f t="shared" si="76"/>
        <v>-6.1877322355468056</v>
      </c>
    </row>
    <row r="96" spans="1:26" s="24" customFormat="1" hidden="1" outlineLevel="2" x14ac:dyDescent="0.25">
      <c r="A96" s="26"/>
      <c r="B96" s="11" t="str">
        <f>CONCATENATE("          ", "6243", " - ", "PAPER SUPPLIES")</f>
        <v xml:space="preserve">          6243 - PAPER SUPPLIES</v>
      </c>
      <c r="C96" s="11"/>
      <c r="D96" s="7">
        <v>94.92</v>
      </c>
      <c r="E96" s="2"/>
      <c r="F96" s="6">
        <f t="shared" si="69"/>
        <v>1.6575717342457779E-3</v>
      </c>
      <c r="G96" s="2"/>
      <c r="H96" s="7">
        <v>600</v>
      </c>
      <c r="I96" s="2"/>
      <c r="J96" s="6">
        <f t="shared" si="70"/>
        <v>1.9416847351218406E-2</v>
      </c>
      <c r="K96" s="2"/>
      <c r="L96" s="7">
        <f t="shared" si="71"/>
        <v>-505.08</v>
      </c>
      <c r="M96" s="2"/>
      <c r="N96" s="6">
        <f t="shared" si="72"/>
        <v>-0.84179999999999999</v>
      </c>
      <c r="O96" s="11"/>
      <c r="P96" s="7">
        <v>160.41</v>
      </c>
      <c r="Q96" s="2"/>
      <c r="R96" s="6">
        <f t="shared" si="73"/>
        <v>4.1824312855559461E-4</v>
      </c>
      <c r="S96" s="2"/>
      <c r="T96" s="7">
        <v>5219</v>
      </c>
      <c r="U96" s="2"/>
      <c r="V96" s="6">
        <f t="shared" si="74"/>
        <v>2.6867300554437302E-2</v>
      </c>
      <c r="W96" s="2"/>
      <c r="X96" s="7">
        <f t="shared" si="75"/>
        <v>-5058.59</v>
      </c>
      <c r="Y96" s="2"/>
      <c r="Z96" s="6">
        <f t="shared" si="76"/>
        <v>-0.96926422686338387</v>
      </c>
    </row>
    <row r="97" spans="1:26" s="24" customFormat="1" hidden="1" outlineLevel="2" x14ac:dyDescent="0.25">
      <c r="A97" s="26"/>
      <c r="B97" s="11" t="str">
        <f>CONCATENATE("          ", "6244", " - ", "SAFETY SUPPLY EXPENSE")</f>
        <v xml:space="preserve">          6244 - SAFETY SUPPLY EXPENSE</v>
      </c>
      <c r="C97" s="11"/>
      <c r="D97" s="7"/>
      <c r="E97" s="2"/>
      <c r="F97" s="6">
        <f t="shared" si="69"/>
        <v>0</v>
      </c>
      <c r="G97" s="2"/>
      <c r="H97" s="7">
        <v>0</v>
      </c>
      <c r="I97" s="2"/>
      <c r="J97" s="6">
        <f t="shared" si="70"/>
        <v>0</v>
      </c>
      <c r="K97" s="2"/>
      <c r="L97" s="7">
        <f t="shared" si="71"/>
        <v>0</v>
      </c>
      <c r="M97" s="2"/>
      <c r="N97" s="6">
        <f t="shared" si="72"/>
        <v>0</v>
      </c>
      <c r="O97" s="11"/>
      <c r="P97" s="7"/>
      <c r="Q97" s="2"/>
      <c r="R97" s="6">
        <f t="shared" si="73"/>
        <v>0</v>
      </c>
      <c r="S97" s="2"/>
      <c r="T97" s="7">
        <v>0</v>
      </c>
      <c r="U97" s="2"/>
      <c r="V97" s="6">
        <f t="shared" si="74"/>
        <v>0</v>
      </c>
      <c r="W97" s="2"/>
      <c r="X97" s="7">
        <f t="shared" si="75"/>
        <v>0</v>
      </c>
      <c r="Y97" s="2"/>
      <c r="Z97" s="6">
        <f t="shared" si="76"/>
        <v>0</v>
      </c>
    </row>
    <row r="98" spans="1:26" s="24" customFormat="1" hidden="1" outlineLevel="2" x14ac:dyDescent="0.25">
      <c r="A98" s="26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69"/>
        <v>0</v>
      </c>
      <c r="G98" s="2"/>
      <c r="H98" s="7">
        <v>0</v>
      </c>
      <c r="I98" s="2"/>
      <c r="J98" s="6">
        <f t="shared" si="70"/>
        <v>0</v>
      </c>
      <c r="K98" s="2"/>
      <c r="L98" s="7">
        <f t="shared" si="71"/>
        <v>0</v>
      </c>
      <c r="M98" s="2"/>
      <c r="N98" s="6">
        <f t="shared" si="72"/>
        <v>0</v>
      </c>
      <c r="O98" s="11"/>
      <c r="P98" s="7"/>
      <c r="Q98" s="2"/>
      <c r="R98" s="6">
        <f t="shared" si="73"/>
        <v>0</v>
      </c>
      <c r="S98" s="2"/>
      <c r="T98" s="7">
        <v>0</v>
      </c>
      <c r="U98" s="2"/>
      <c r="V98" s="6">
        <f t="shared" si="74"/>
        <v>0</v>
      </c>
      <c r="W98" s="2"/>
      <c r="X98" s="7">
        <f t="shared" si="75"/>
        <v>0</v>
      </c>
      <c r="Y98" s="2"/>
      <c r="Z98" s="6">
        <f t="shared" si="76"/>
        <v>0</v>
      </c>
    </row>
    <row r="99" spans="1:26" s="24" customFormat="1" hidden="1" outlineLevel="2" x14ac:dyDescent="0.25">
      <c r="A99" s="26"/>
      <c r="B99" s="11" t="str">
        <f>CONCATENATE("          ", "6246", " - ", "REPLACEMENTS")</f>
        <v xml:space="preserve">          6246 - REPLACEMENTS</v>
      </c>
      <c r="C99" s="11"/>
      <c r="D99" s="7"/>
      <c r="E99" s="2"/>
      <c r="F99" s="6">
        <f t="shared" si="69"/>
        <v>0</v>
      </c>
      <c r="G99" s="2"/>
      <c r="H99" s="7">
        <v>0</v>
      </c>
      <c r="I99" s="2"/>
      <c r="J99" s="6">
        <f t="shared" si="70"/>
        <v>0</v>
      </c>
      <c r="K99" s="2"/>
      <c r="L99" s="7">
        <f t="shared" si="71"/>
        <v>0</v>
      </c>
      <c r="M99" s="2"/>
      <c r="N99" s="6">
        <f t="shared" si="72"/>
        <v>0</v>
      </c>
      <c r="O99" s="11"/>
      <c r="P99" s="7"/>
      <c r="Q99" s="2"/>
      <c r="R99" s="6">
        <f t="shared" si="73"/>
        <v>0</v>
      </c>
      <c r="S99" s="2"/>
      <c r="T99" s="7">
        <v>0</v>
      </c>
      <c r="U99" s="2"/>
      <c r="V99" s="6">
        <f t="shared" si="74"/>
        <v>0</v>
      </c>
      <c r="W99" s="2"/>
      <c r="X99" s="7">
        <f t="shared" si="75"/>
        <v>0</v>
      </c>
      <c r="Y99" s="2"/>
      <c r="Z99" s="6">
        <f t="shared" si="76"/>
        <v>0</v>
      </c>
    </row>
    <row r="100" spans="1:26" s="24" customFormat="1" hidden="1" outlineLevel="2" x14ac:dyDescent="0.25">
      <c r="A100" s="26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69"/>
        <v>0</v>
      </c>
      <c r="G100" s="2"/>
      <c r="H100" s="7">
        <v>0</v>
      </c>
      <c r="I100" s="2"/>
      <c r="J100" s="6">
        <f t="shared" si="70"/>
        <v>0</v>
      </c>
      <c r="K100" s="2"/>
      <c r="L100" s="7">
        <f t="shared" si="71"/>
        <v>0</v>
      </c>
      <c r="M100" s="2"/>
      <c r="N100" s="6">
        <f t="shared" si="72"/>
        <v>0</v>
      </c>
      <c r="O100" s="11"/>
      <c r="P100" s="7"/>
      <c r="Q100" s="2"/>
      <c r="R100" s="6">
        <f t="shared" si="73"/>
        <v>0</v>
      </c>
      <c r="S100" s="2"/>
      <c r="T100" s="7">
        <v>411</v>
      </c>
      <c r="U100" s="2"/>
      <c r="V100" s="6">
        <f t="shared" si="74"/>
        <v>2.1158192235818606E-3</v>
      </c>
      <c r="W100" s="2"/>
      <c r="X100" s="7">
        <f t="shared" si="75"/>
        <v>-411</v>
      </c>
      <c r="Y100" s="2"/>
      <c r="Z100" s="6">
        <f t="shared" si="76"/>
        <v>-1</v>
      </c>
    </row>
    <row r="101" spans="1:26" s="24" customFormat="1" hidden="1" outlineLevel="2" x14ac:dyDescent="0.25">
      <c r="A101" s="26"/>
      <c r="B101" s="11" t="str">
        <f>CONCATENATE("          ", "6248", " - ", "UNIFORMS")</f>
        <v xml:space="preserve">          6248 - UNIFORMS</v>
      </c>
      <c r="C101" s="11"/>
      <c r="D101" s="7"/>
      <c r="E101" s="2"/>
      <c r="F101" s="6">
        <f t="shared" si="69"/>
        <v>0</v>
      </c>
      <c r="G101" s="2"/>
      <c r="H101" s="7"/>
      <c r="I101" s="2"/>
      <c r="J101" s="6">
        <f t="shared" si="70"/>
        <v>0</v>
      </c>
      <c r="K101" s="2"/>
      <c r="L101" s="7">
        <f t="shared" si="71"/>
        <v>0</v>
      </c>
      <c r="M101" s="2"/>
      <c r="N101" s="6">
        <f t="shared" si="72"/>
        <v>0</v>
      </c>
      <c r="O101" s="11"/>
      <c r="P101" s="7"/>
      <c r="Q101" s="2"/>
      <c r="R101" s="6">
        <f t="shared" si="73"/>
        <v>0</v>
      </c>
      <c r="S101" s="2"/>
      <c r="T101" s="7">
        <v>15</v>
      </c>
      <c r="U101" s="2"/>
      <c r="V101" s="6">
        <f t="shared" si="74"/>
        <v>7.7219679692768628E-5</v>
      </c>
      <c r="W101" s="2"/>
      <c r="X101" s="7">
        <f t="shared" si="75"/>
        <v>-15</v>
      </c>
      <c r="Y101" s="2"/>
      <c r="Z101" s="6">
        <f t="shared" si="76"/>
        <v>-1</v>
      </c>
    </row>
    <row r="102" spans="1:26" s="25" customFormat="1" outlineLevel="1" collapsed="1" x14ac:dyDescent="0.25">
      <c r="A102" s="27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SUM(OSRRefD22_18x_0)</f>
        <v>400</v>
      </c>
      <c r="E102" s="1"/>
      <c r="F102" s="5">
        <f t="shared" ref="F102:F104" si="77">IF(D$12=0,0,D102/D$12)</f>
        <v>6.9851316234546051E-3</v>
      </c>
      <c r="G102" s="1"/>
      <c r="H102" s="1">
        <f>SUM(OSRRefH22_18x_0)</f>
        <v>385</v>
      </c>
      <c r="I102" s="1"/>
      <c r="J102" s="5">
        <f t="shared" ref="J102:J104" si="78">IF(H$12=0,0,H102/H$12)</f>
        <v>1.2459143717031811E-2</v>
      </c>
      <c r="K102" s="1"/>
      <c r="L102" s="1">
        <f t="shared" ref="L102:L104" si="79">+D102-H102</f>
        <v>15</v>
      </c>
      <c r="M102" s="1"/>
      <c r="N102" s="5">
        <f t="shared" ref="N102:N104" si="80">IF(H102=0,0,L102/H102)</f>
        <v>3.896103896103896E-2</v>
      </c>
      <c r="O102" s="13"/>
      <c r="P102" s="1">
        <f>SUM(OSRRefP22_18x_0)</f>
        <v>5597.41</v>
      </c>
      <c r="Q102" s="1"/>
      <c r="R102" s="5">
        <f t="shared" ref="R102:R104" si="81">IF(P$12=0,0,P102/P$12)</f>
        <v>1.4594341189504213E-2</v>
      </c>
      <c r="S102" s="1"/>
      <c r="T102" s="1">
        <f>SUM(OSRRefT22_18x_0)</f>
        <v>3057</v>
      </c>
      <c r="U102" s="1"/>
      <c r="V102" s="5">
        <f t="shared" ref="V102:V104" si="82">IF(T$12=0,0,T102/T$12)</f>
        <v>1.5737370721386246E-2</v>
      </c>
      <c r="W102" s="1"/>
      <c r="X102" s="1">
        <f t="shared" ref="X102:X104" si="83">+P102-T102</f>
        <v>2540.41</v>
      </c>
      <c r="Y102" s="1"/>
      <c r="Z102" s="5">
        <f t="shared" ref="Z102:Z104" si="84">IF(T102=0,0,X102/T102)</f>
        <v>0.83101406607785411</v>
      </c>
    </row>
    <row r="103" spans="1:26" s="24" customFormat="1" hidden="1" outlineLevel="2" x14ac:dyDescent="0.25">
      <c r="A103" s="26"/>
      <c r="B103" s="11" t="str">
        <f>CONCATENATE("          ", "6303", " - ", "DATA PHONE LINES")</f>
        <v xml:space="preserve">          6303 - DATA PHONE LINES</v>
      </c>
      <c r="C103" s="11"/>
      <c r="D103" s="7"/>
      <c r="E103" s="2"/>
      <c r="F103" s="6">
        <f t="shared" si="77"/>
        <v>0</v>
      </c>
      <c r="G103" s="2"/>
      <c r="H103" s="7">
        <v>135</v>
      </c>
      <c r="I103" s="2"/>
      <c r="J103" s="6">
        <f t="shared" si="78"/>
        <v>4.3687906540241413E-3</v>
      </c>
      <c r="K103" s="2"/>
      <c r="L103" s="7">
        <f t="shared" si="79"/>
        <v>-135</v>
      </c>
      <c r="M103" s="2"/>
      <c r="N103" s="6">
        <f t="shared" si="80"/>
        <v>-1</v>
      </c>
      <c r="O103" s="11"/>
      <c r="P103" s="7"/>
      <c r="Q103" s="2"/>
      <c r="R103" s="6">
        <f t="shared" si="81"/>
        <v>0</v>
      </c>
      <c r="S103" s="2"/>
      <c r="T103" s="7">
        <v>1257</v>
      </c>
      <c r="U103" s="2"/>
      <c r="V103" s="6">
        <f t="shared" si="82"/>
        <v>6.4710091582540112E-3</v>
      </c>
      <c r="W103" s="2"/>
      <c r="X103" s="7">
        <f t="shared" si="83"/>
        <v>-1257</v>
      </c>
      <c r="Y103" s="2"/>
      <c r="Z103" s="6">
        <f t="shared" si="84"/>
        <v>-1</v>
      </c>
    </row>
    <row r="104" spans="1:26" s="24" customFormat="1" hidden="1" outlineLevel="2" x14ac:dyDescent="0.25">
      <c r="A104" s="26"/>
      <c r="B104" s="11" t="str">
        <f>CONCATENATE("          ", "6309", " - ", "TELEPHONE")</f>
        <v xml:space="preserve">          6309 - TELEPHONE</v>
      </c>
      <c r="C104" s="11"/>
      <c r="D104" s="7">
        <v>400</v>
      </c>
      <c r="E104" s="2"/>
      <c r="F104" s="6">
        <f t="shared" si="77"/>
        <v>6.9851316234546051E-3</v>
      </c>
      <c r="G104" s="2"/>
      <c r="H104" s="7">
        <v>250</v>
      </c>
      <c r="I104" s="2"/>
      <c r="J104" s="6">
        <f t="shared" si="78"/>
        <v>8.09035306300767E-3</v>
      </c>
      <c r="K104" s="2"/>
      <c r="L104" s="7">
        <f t="shared" si="79"/>
        <v>150</v>
      </c>
      <c r="M104" s="2"/>
      <c r="N104" s="6">
        <f t="shared" si="80"/>
        <v>0.6</v>
      </c>
      <c r="O104" s="11"/>
      <c r="P104" s="7">
        <v>5597.41</v>
      </c>
      <c r="Q104" s="2"/>
      <c r="R104" s="6">
        <f t="shared" si="81"/>
        <v>1.4594341189504213E-2</v>
      </c>
      <c r="S104" s="2"/>
      <c r="T104" s="7">
        <v>1800</v>
      </c>
      <c r="U104" s="2"/>
      <c r="V104" s="6">
        <f t="shared" si="82"/>
        <v>9.266361563132236E-3</v>
      </c>
      <c r="W104" s="2"/>
      <c r="X104" s="7">
        <f t="shared" si="83"/>
        <v>3797.41</v>
      </c>
      <c r="Y104" s="2"/>
      <c r="Z104" s="6">
        <f t="shared" si="84"/>
        <v>2.1096722222222222</v>
      </c>
    </row>
    <row r="105" spans="1:26" s="25" customFormat="1" outlineLevel="1" collapsed="1" x14ac:dyDescent="0.25">
      <c r="A105" s="27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SUM(OSRRefD22_19x_0)</f>
        <v>0</v>
      </c>
      <c r="E105" s="1"/>
      <c r="F105" s="5">
        <f t="shared" ref="F105:F110" si="85">IF(D$12=0,0,D105/D$12)</f>
        <v>0</v>
      </c>
      <c r="G105" s="1"/>
      <c r="H105" s="1">
        <f>SUM(OSRRefH22_19x_0)</f>
        <v>0</v>
      </c>
      <c r="I105" s="1"/>
      <c r="J105" s="5">
        <f t="shared" ref="J105:J110" si="86">IF(H$12=0,0,H105/H$12)</f>
        <v>0</v>
      </c>
      <c r="K105" s="1"/>
      <c r="L105" s="1">
        <f t="shared" ref="L105:L110" si="87">+D105-H105</f>
        <v>0</v>
      </c>
      <c r="M105" s="1"/>
      <c r="N105" s="5">
        <f t="shared" ref="N105:N110" si="88">IF(H105=0,0,L105/H105)</f>
        <v>0</v>
      </c>
      <c r="O105" s="13"/>
      <c r="P105" s="1">
        <f>SUM(OSRRefP22_19x_0)</f>
        <v>400</v>
      </c>
      <c r="Q105" s="1"/>
      <c r="R105" s="5">
        <f t="shared" ref="R105:R110" si="89">IF(P$12=0,0,P105/P$12)</f>
        <v>1.0429352996835476E-3</v>
      </c>
      <c r="S105" s="1"/>
      <c r="T105" s="1">
        <f>SUM(OSRRefT22_19x_0)</f>
        <v>0</v>
      </c>
      <c r="U105" s="1"/>
      <c r="V105" s="5">
        <f t="shared" ref="V105:V110" si="90">IF(T$12=0,0,T105/T$12)</f>
        <v>0</v>
      </c>
      <c r="W105" s="1"/>
      <c r="X105" s="1">
        <f t="shared" ref="X105:X110" si="91">+P105-T105</f>
        <v>400</v>
      </c>
      <c r="Y105" s="1"/>
      <c r="Z105" s="5">
        <f t="shared" ref="Z105:Z110" si="92">IF(T105=0,0,X105/T105)</f>
        <v>0</v>
      </c>
    </row>
    <row r="106" spans="1:26" s="24" customFormat="1" hidden="1" outlineLevel="2" x14ac:dyDescent="0.25">
      <c r="A106" s="26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85"/>
        <v>0</v>
      </c>
      <c r="G106" s="2"/>
      <c r="H106" s="7">
        <v>0</v>
      </c>
      <c r="I106" s="2"/>
      <c r="J106" s="6">
        <f t="shared" si="86"/>
        <v>0</v>
      </c>
      <c r="K106" s="2"/>
      <c r="L106" s="7">
        <f t="shared" si="87"/>
        <v>0</v>
      </c>
      <c r="M106" s="2"/>
      <c r="N106" s="6">
        <f t="shared" si="88"/>
        <v>0</v>
      </c>
      <c r="O106" s="11"/>
      <c r="P106" s="7">
        <v>400</v>
      </c>
      <c r="Q106" s="2"/>
      <c r="R106" s="6">
        <f t="shared" si="89"/>
        <v>1.0429352996835476E-3</v>
      </c>
      <c r="S106" s="2"/>
      <c r="T106" s="7">
        <v>0</v>
      </c>
      <c r="U106" s="2"/>
      <c r="V106" s="6">
        <f t="shared" si="90"/>
        <v>0</v>
      </c>
      <c r="W106" s="2"/>
      <c r="X106" s="7">
        <f t="shared" si="91"/>
        <v>400</v>
      </c>
      <c r="Y106" s="2"/>
      <c r="Z106" s="6">
        <f t="shared" si="92"/>
        <v>0</v>
      </c>
    </row>
    <row r="107" spans="1:26" s="25" customFormat="1" outlineLevel="1" collapsed="1" x14ac:dyDescent="0.25">
      <c r="A107" s="27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SUM(OSRRefD22_20x_0)</f>
        <v>0</v>
      </c>
      <c r="E107" s="1"/>
      <c r="F107" s="5">
        <f t="shared" si="85"/>
        <v>0</v>
      </c>
      <c r="G107" s="1"/>
      <c r="H107" s="1">
        <f>SUM(OSRRefH22_20x_0)</f>
        <v>0</v>
      </c>
      <c r="I107" s="1"/>
      <c r="J107" s="5">
        <f t="shared" si="86"/>
        <v>0</v>
      </c>
      <c r="K107" s="1"/>
      <c r="L107" s="1">
        <f t="shared" si="87"/>
        <v>0</v>
      </c>
      <c r="M107" s="1"/>
      <c r="N107" s="5">
        <f t="shared" si="88"/>
        <v>0</v>
      </c>
      <c r="O107" s="13"/>
      <c r="P107" s="1">
        <f>SUM(OSRRefP22_20x_0)</f>
        <v>332.21</v>
      </c>
      <c r="Q107" s="1"/>
      <c r="R107" s="5">
        <f t="shared" si="89"/>
        <v>8.6618383976967825E-4</v>
      </c>
      <c r="S107" s="1"/>
      <c r="T107" s="1">
        <f>SUM(OSRRefT22_20x_0)</f>
        <v>0</v>
      </c>
      <c r="U107" s="1"/>
      <c r="V107" s="5">
        <f t="shared" si="90"/>
        <v>0</v>
      </c>
      <c r="W107" s="1"/>
      <c r="X107" s="1">
        <f t="shared" si="91"/>
        <v>332.21</v>
      </c>
      <c r="Y107" s="1"/>
      <c r="Z107" s="5">
        <f t="shared" si="92"/>
        <v>0</v>
      </c>
    </row>
    <row r="108" spans="1:26" s="24" customFormat="1" hidden="1" outlineLevel="2" x14ac:dyDescent="0.25">
      <c r="A108" s="26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5"/>
        <v>0</v>
      </c>
      <c r="G108" s="2"/>
      <c r="H108" s="7"/>
      <c r="I108" s="2"/>
      <c r="J108" s="6">
        <f t="shared" si="86"/>
        <v>0</v>
      </c>
      <c r="K108" s="2"/>
      <c r="L108" s="7">
        <f t="shared" si="87"/>
        <v>0</v>
      </c>
      <c r="M108" s="2"/>
      <c r="N108" s="6">
        <f t="shared" si="88"/>
        <v>0</v>
      </c>
      <c r="O108" s="11"/>
      <c r="P108" s="7"/>
      <c r="Q108" s="2"/>
      <c r="R108" s="6">
        <f t="shared" si="89"/>
        <v>0</v>
      </c>
      <c r="S108" s="2"/>
      <c r="T108" s="7">
        <v>0</v>
      </c>
      <c r="U108" s="2"/>
      <c r="V108" s="6">
        <f t="shared" si="90"/>
        <v>0</v>
      </c>
      <c r="W108" s="2"/>
      <c r="X108" s="7">
        <f t="shared" si="91"/>
        <v>0</v>
      </c>
      <c r="Y108" s="2"/>
      <c r="Z108" s="6">
        <f t="shared" si="92"/>
        <v>0</v>
      </c>
    </row>
    <row r="109" spans="1:26" s="24" customFormat="1" hidden="1" outlineLevel="2" x14ac:dyDescent="0.25">
      <c r="A109" s="26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5"/>
        <v>0</v>
      </c>
      <c r="G109" s="2"/>
      <c r="H109" s="7"/>
      <c r="I109" s="2"/>
      <c r="J109" s="6">
        <f t="shared" si="86"/>
        <v>0</v>
      </c>
      <c r="K109" s="2"/>
      <c r="L109" s="7">
        <f t="shared" si="87"/>
        <v>0</v>
      </c>
      <c r="M109" s="2"/>
      <c r="N109" s="6">
        <f t="shared" si="88"/>
        <v>0</v>
      </c>
      <c r="O109" s="11"/>
      <c r="P109" s="7"/>
      <c r="Q109" s="2"/>
      <c r="R109" s="6">
        <f t="shared" si="89"/>
        <v>0</v>
      </c>
      <c r="S109" s="2"/>
      <c r="T109" s="7">
        <v>0</v>
      </c>
      <c r="U109" s="2"/>
      <c r="V109" s="6">
        <f t="shared" si="90"/>
        <v>0</v>
      </c>
      <c r="W109" s="2"/>
      <c r="X109" s="7">
        <f t="shared" si="91"/>
        <v>0</v>
      </c>
      <c r="Y109" s="2"/>
      <c r="Z109" s="6">
        <f t="shared" si="92"/>
        <v>0</v>
      </c>
    </row>
    <row r="110" spans="1:26" s="24" customFormat="1" hidden="1" outlineLevel="2" x14ac:dyDescent="0.25">
      <c r="A110" s="26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>
        <v>332.21</v>
      </c>
      <c r="Q110" s="2"/>
      <c r="R110" s="6">
        <f t="shared" si="89"/>
        <v>8.6618383976967825E-4</v>
      </c>
      <c r="S110" s="2"/>
      <c r="T110" s="7"/>
      <c r="U110" s="2"/>
      <c r="V110" s="6">
        <f t="shared" si="90"/>
        <v>0</v>
      </c>
      <c r="W110" s="2"/>
      <c r="X110" s="7">
        <f t="shared" si="91"/>
        <v>332.21</v>
      </c>
      <c r="Y110" s="2"/>
      <c r="Z110" s="6">
        <f t="shared" si="92"/>
        <v>0</v>
      </c>
    </row>
    <row r="111" spans="1:26" s="25" customFormat="1" outlineLevel="1" collapsed="1" x14ac:dyDescent="0.25">
      <c r="A111" s="27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SUM(OSRRefD22_21x_0)</f>
        <v>-9772</v>
      </c>
      <c r="E111" s="1"/>
      <c r="F111" s="5">
        <f t="shared" ref="F111:F112" si="93">IF(D$12=0,0,D111/D$12)</f>
        <v>-0.17064676556099601</v>
      </c>
      <c r="G111" s="1"/>
      <c r="H111" s="1">
        <f>SUM(OSRRefH22_21x_0)</f>
        <v>3300</v>
      </c>
      <c r="I111" s="1"/>
      <c r="J111" s="5">
        <f t="shared" ref="J111:J112" si="94">IF(H$12=0,0,H111/H$12)</f>
        <v>0.10679266043170124</v>
      </c>
      <c r="K111" s="1"/>
      <c r="L111" s="1">
        <f t="shared" ref="L111:L112" si="95">+D111-H111</f>
        <v>-13072</v>
      </c>
      <c r="M111" s="1"/>
      <c r="N111" s="5">
        <f t="shared" ref="N111:N112" si="96">IF(H111=0,0,L111/H111)</f>
        <v>-3.9612121212121214</v>
      </c>
      <c r="O111" s="13"/>
      <c r="P111" s="1">
        <f>SUM(OSRRefP22_21x_0)</f>
        <v>-1460</v>
      </c>
      <c r="Q111" s="1"/>
      <c r="R111" s="5">
        <f t="shared" ref="R111:R112" si="97">IF(P$12=0,0,P111/P$12)</f>
        <v>-3.8067138438449481E-3</v>
      </c>
      <c r="S111" s="1"/>
      <c r="T111" s="1">
        <f>SUM(OSRRefT22_21x_0)</f>
        <v>29700</v>
      </c>
      <c r="U111" s="1"/>
      <c r="V111" s="5">
        <f t="shared" ref="V111:V112" si="98">IF(T$12=0,0,T111/T$12)</f>
        <v>0.15289496579168191</v>
      </c>
      <c r="W111" s="1"/>
      <c r="X111" s="1">
        <f t="shared" ref="X111:X112" si="99">+P111-T111</f>
        <v>-31160</v>
      </c>
      <c r="Y111" s="1"/>
      <c r="Z111" s="5">
        <f t="shared" ref="Z111:Z112" si="100">IF(T111=0,0,X111/T111)</f>
        <v>-1.0491582491582492</v>
      </c>
    </row>
    <row r="112" spans="1:26" s="24" customFormat="1" hidden="1" outlineLevel="2" x14ac:dyDescent="0.25">
      <c r="A112" s="26"/>
      <c r="B112" s="11" t="str">
        <f>CONCATENATE("          ", "6274", " - ", "UTILITIES")</f>
        <v xml:space="preserve">          6274 - UTILITIES</v>
      </c>
      <c r="C112" s="11"/>
      <c r="D112" s="7">
        <v>-9772</v>
      </c>
      <c r="E112" s="2"/>
      <c r="F112" s="6">
        <f t="shared" si="93"/>
        <v>-0.17064676556099601</v>
      </c>
      <c r="G112" s="2"/>
      <c r="H112" s="7">
        <v>3300</v>
      </c>
      <c r="I112" s="2"/>
      <c r="J112" s="6">
        <f t="shared" si="94"/>
        <v>0.10679266043170124</v>
      </c>
      <c r="K112" s="2"/>
      <c r="L112" s="7">
        <f t="shared" si="95"/>
        <v>-13072</v>
      </c>
      <c r="M112" s="2"/>
      <c r="N112" s="6">
        <f t="shared" si="96"/>
        <v>-3.9612121212121214</v>
      </c>
      <c r="O112" s="11"/>
      <c r="P112" s="7">
        <v>-1460</v>
      </c>
      <c r="Q112" s="2"/>
      <c r="R112" s="6">
        <f t="shared" si="97"/>
        <v>-3.8067138438449481E-3</v>
      </c>
      <c r="S112" s="2"/>
      <c r="T112" s="7">
        <v>29700</v>
      </c>
      <c r="U112" s="2"/>
      <c r="V112" s="6">
        <f t="shared" si="98"/>
        <v>0.15289496579168191</v>
      </c>
      <c r="W112" s="2"/>
      <c r="X112" s="7">
        <f t="shared" si="99"/>
        <v>-31160</v>
      </c>
      <c r="Y112" s="2"/>
      <c r="Z112" s="6">
        <f t="shared" si="100"/>
        <v>-1.0491582491582492</v>
      </c>
    </row>
    <row r="113" spans="1:26" s="59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8" t="s">
        <v>293</v>
      </c>
      <c r="C114" s="10"/>
      <c r="D114" s="4">
        <f>SUM(OSRRefD25x_0)</f>
        <v>3116.44</v>
      </c>
      <c r="E114" s="4"/>
      <c r="F114" s="12">
        <f t="shared" ref="F114:F118" si="101">IF(D$12=0,0,D114/D$12)</f>
        <v>5.442185899149718E-2</v>
      </c>
      <c r="G114" s="4"/>
      <c r="H114" s="4">
        <f>SUM(OSRRefH25x_0)</f>
        <v>11116</v>
      </c>
      <c r="I114" s="4"/>
      <c r="J114" s="12">
        <f t="shared" ref="J114:J118" si="102">IF(H$12=0,0,H114/H$12)</f>
        <v>0.35972945859357303</v>
      </c>
      <c r="K114" s="4"/>
      <c r="L114" s="4">
        <f t="shared" ref="L114:L118" si="103">+D114-H114</f>
        <v>-7999.5599999999995</v>
      </c>
      <c r="M114" s="4"/>
      <c r="N114" s="12">
        <f t="shared" ref="N114:N118" si="104">IF(H114=0,0,L114/H114)</f>
        <v>-0.71964375674703129</v>
      </c>
      <c r="O114" s="10"/>
      <c r="P114" s="4">
        <f>SUM(OSRRefP25x_0)</f>
        <v>20865.659999999996</v>
      </c>
      <c r="Q114" s="4"/>
      <c r="R114" s="12">
        <f t="shared" ref="R114:R118" si="105">IF(P$12=0,0,P114/P$12)</f>
        <v>5.4403833412987511E-2</v>
      </c>
      <c r="S114" s="4"/>
      <c r="T114" s="4">
        <f>SUM(OSRRefT25x_0)</f>
        <v>51391</v>
      </c>
      <c r="U114" s="4"/>
      <c r="V114" s="12">
        <f t="shared" ref="V114:V118" si="106">IF(T$12=0,0,T114/T$12)</f>
        <v>0.26455977060607155</v>
      </c>
      <c r="W114" s="4"/>
      <c r="X114" s="4">
        <f t="shared" ref="X114:X118" si="107">+P114-T114</f>
        <v>-30525.340000000004</v>
      </c>
      <c r="Y114" s="4"/>
      <c r="Z114" s="12">
        <f t="shared" ref="Z114:Z118" si="108">IF(T114=0,0,X114/T114)</f>
        <v>-0.59398221478469004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--3116.44</f>
        <v>3116.44</v>
      </c>
      <c r="E115" s="2"/>
      <c r="F115" s="19">
        <f t="shared" si="101"/>
        <v>5.442185899149718E-2</v>
      </c>
      <c r="G115" s="2"/>
      <c r="H115" s="2">
        <v>2970</v>
      </c>
      <c r="I115" s="2"/>
      <c r="J115" s="19">
        <f t="shared" si="102"/>
        <v>9.6113394388531115E-2</v>
      </c>
      <c r="K115" s="2"/>
      <c r="L115" s="2">
        <f t="shared" si="103"/>
        <v>146.44000000000005</v>
      </c>
      <c r="M115" s="2"/>
      <c r="N115" s="19">
        <f t="shared" si="104"/>
        <v>4.9306397306397326E-2</v>
      </c>
      <c r="O115" s="11"/>
      <c r="P115" s="2">
        <f>--4844.49</f>
        <v>4844.49</v>
      </c>
      <c r="Q115" s="2"/>
      <c r="R115" s="19">
        <f t="shared" si="105"/>
        <v>1.2631224074909872E-2</v>
      </c>
      <c r="S115" s="2"/>
      <c r="T115" s="2">
        <v>19642</v>
      </c>
      <c r="U115" s="2"/>
      <c r="V115" s="19">
        <f t="shared" si="106"/>
        <v>0.10111659656835743</v>
      </c>
      <c r="W115" s="2"/>
      <c r="X115" s="2">
        <f t="shared" si="107"/>
        <v>-14797.51</v>
      </c>
      <c r="Y115" s="2"/>
      <c r="Z115" s="19">
        <f t="shared" si="108"/>
        <v>-0.75336065573770494</v>
      </c>
    </row>
    <row r="116" spans="1:26" s="24" customFormat="1" hidden="1" outlineLevel="1" x14ac:dyDescent="0.25">
      <c r="A116" s="44"/>
      <c r="B116" s="11" t="str">
        <f>CONCATENATE("          ", "9151", " - ", "MISC. INCOME")</f>
        <v xml:space="preserve">          9151 - MISC. INCOME</v>
      </c>
      <c r="C116" s="11"/>
      <c r="D116" s="2">
        <f t="shared" ref="D116:D118" si="109">0</f>
        <v>0</v>
      </c>
      <c r="E116" s="2"/>
      <c r="F116" s="19">
        <f t="shared" si="101"/>
        <v>0</v>
      </c>
      <c r="G116" s="2"/>
      <c r="H116" s="2">
        <v>6825</v>
      </c>
      <c r="I116" s="2"/>
      <c r="J116" s="19">
        <f t="shared" si="102"/>
        <v>0.22086663862010938</v>
      </c>
      <c r="K116" s="2"/>
      <c r="L116" s="2">
        <f t="shared" si="103"/>
        <v>-6825</v>
      </c>
      <c r="M116" s="2"/>
      <c r="N116" s="19">
        <f t="shared" si="104"/>
        <v>-1</v>
      </c>
      <c r="O116" s="11"/>
      <c r="P116" s="2">
        <f>0</f>
        <v>0</v>
      </c>
      <c r="Q116" s="2"/>
      <c r="R116" s="19">
        <f t="shared" si="105"/>
        <v>0</v>
      </c>
      <c r="S116" s="2"/>
      <c r="T116" s="2">
        <v>22298</v>
      </c>
      <c r="U116" s="2"/>
      <c r="V116" s="19">
        <f t="shared" si="106"/>
        <v>0.11478962785262367</v>
      </c>
      <c r="W116" s="2"/>
      <c r="X116" s="2">
        <f t="shared" si="107"/>
        <v>-22298</v>
      </c>
      <c r="Y116" s="2"/>
      <c r="Z116" s="19">
        <f t="shared" si="108"/>
        <v>-1</v>
      </c>
    </row>
    <row r="117" spans="1:26" s="24" customFormat="1" hidden="1" outlineLevel="1" x14ac:dyDescent="0.25">
      <c r="A117" s="44"/>
      <c r="B117" s="11" t="str">
        <f>CONCATENATE("          ", "9160", " - ", "MISC. INCOME")</f>
        <v xml:space="preserve">          9160 - MISC. INCOME</v>
      </c>
      <c r="C117" s="11"/>
      <c r="D117" s="2">
        <f t="shared" si="109"/>
        <v>0</v>
      </c>
      <c r="E117" s="2"/>
      <c r="F117" s="19">
        <f t="shared" si="101"/>
        <v>0</v>
      </c>
      <c r="G117" s="2"/>
      <c r="H117" s="2">
        <v>1321</v>
      </c>
      <c r="I117" s="2"/>
      <c r="J117" s="19">
        <f t="shared" si="102"/>
        <v>4.2749425584932527E-2</v>
      </c>
      <c r="K117" s="2"/>
      <c r="L117" s="2">
        <f t="shared" si="103"/>
        <v>-1321</v>
      </c>
      <c r="M117" s="2"/>
      <c r="N117" s="19">
        <f t="shared" si="104"/>
        <v>-1</v>
      </c>
      <c r="O117" s="11"/>
      <c r="P117" s="2">
        <f>--12882.96</f>
        <v>12882.96</v>
      </c>
      <c r="Q117" s="2"/>
      <c r="R117" s="19">
        <f t="shared" si="105"/>
        <v>3.3590234371027886E-2</v>
      </c>
      <c r="S117" s="2"/>
      <c r="T117" s="2">
        <v>9451</v>
      </c>
      <c r="U117" s="2"/>
      <c r="V117" s="19">
        <f t="shared" si="106"/>
        <v>4.8653546185090421E-2</v>
      </c>
      <c r="W117" s="2"/>
      <c r="X117" s="2">
        <f t="shared" si="107"/>
        <v>3431.9599999999991</v>
      </c>
      <c r="Y117" s="2"/>
      <c r="Z117" s="19">
        <f t="shared" si="108"/>
        <v>0.36313194370966029</v>
      </c>
    </row>
    <row r="118" spans="1:26" s="24" customFormat="1" hidden="1" outlineLevel="1" x14ac:dyDescent="0.25">
      <c r="A118" s="44"/>
      <c r="B118" s="11" t="str">
        <f>CONCATENATE("          ", "9165", " - ", "OTHER INCOME")</f>
        <v xml:space="preserve">          9165 - OTHER INCOME</v>
      </c>
      <c r="C118" s="11"/>
      <c r="D118" s="2">
        <f t="shared" si="109"/>
        <v>0</v>
      </c>
      <c r="E118" s="2"/>
      <c r="F118" s="19">
        <f t="shared" si="101"/>
        <v>0</v>
      </c>
      <c r="G118" s="2"/>
      <c r="H118" s="2"/>
      <c r="I118" s="2"/>
      <c r="J118" s="19">
        <f t="shared" si="102"/>
        <v>0</v>
      </c>
      <c r="K118" s="2"/>
      <c r="L118" s="2">
        <f t="shared" si="103"/>
        <v>0</v>
      </c>
      <c r="M118" s="2"/>
      <c r="N118" s="19">
        <f t="shared" si="104"/>
        <v>0</v>
      </c>
      <c r="O118" s="11"/>
      <c r="P118" s="2">
        <f>--3138.21</f>
        <v>3138.21</v>
      </c>
      <c r="Q118" s="2"/>
      <c r="R118" s="19">
        <f t="shared" si="105"/>
        <v>8.1823749670497641E-3</v>
      </c>
      <c r="S118" s="2"/>
      <c r="T118" s="2"/>
      <c r="U118" s="2"/>
      <c r="V118" s="19">
        <f t="shared" si="106"/>
        <v>0</v>
      </c>
      <c r="W118" s="2"/>
      <c r="X118" s="2">
        <f t="shared" si="107"/>
        <v>3138.21</v>
      </c>
      <c r="Y118" s="2"/>
      <c r="Z118" s="19">
        <f t="shared" si="108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277</v>
      </c>
      <c r="C120" s="29"/>
      <c r="D120" s="20">
        <f>+D25-D27+D114</f>
        <v>-31671.06000000003</v>
      </c>
      <c r="E120" s="14"/>
      <c r="F120" s="21">
        <f>IF(D$12=0,0,D120/D$12)</f>
        <v>-0.55306630688582104</v>
      </c>
      <c r="G120" s="14"/>
      <c r="H120" s="20">
        <f>+H25-H27+H114</f>
        <v>-78822.924864579487</v>
      </c>
      <c r="I120" s="14"/>
      <c r="J120" s="21">
        <f>IF(H$12=0,0,H120/H$12)</f>
        <v>-2.5508211664534963</v>
      </c>
      <c r="K120" s="16"/>
      <c r="L120" s="20">
        <f>+D120-H120</f>
        <v>47151.86486457946</v>
      </c>
      <c r="M120" s="16"/>
      <c r="N120" s="21">
        <f>IF(H120=0,0,L120/H120)</f>
        <v>-0.59819988849167927</v>
      </c>
      <c r="O120" s="28"/>
      <c r="P120" s="20">
        <f>+P25-P27+P114</f>
        <v>-597630.43000000005</v>
      </c>
      <c r="Q120" s="14"/>
      <c r="R120" s="21">
        <f>IF(P$12=0,0,P120/P$12)</f>
        <v>-1.5582246790301435</v>
      </c>
      <c r="S120" s="14"/>
      <c r="T120" s="20">
        <f>+T25-T27+T114</f>
        <v>-809452.49597303453</v>
      </c>
      <c r="U120" s="14"/>
      <c r="V120" s="21">
        <f>IF(T$12=0,0,T120/T$12)</f>
        <v>-4.1670441643699876</v>
      </c>
      <c r="W120" s="16"/>
      <c r="X120" s="20">
        <f>+P120-T120</f>
        <v>211822.06597303448</v>
      </c>
      <c r="Y120" s="16"/>
      <c r="Z120" s="21">
        <f>IF(T120=0,0,X120/T120)</f>
        <v>-0.26168560480921782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128</v>
      </c>
      <c r="C122" s="10"/>
      <c r="D122" s="4">
        <v>14430.06</v>
      </c>
      <c r="E122" s="4"/>
      <c r="F122" s="12">
        <f>IF(D$12=0,0,D122/D$12)</f>
        <v>0.25198967108586839</v>
      </c>
      <c r="G122" s="4"/>
      <c r="H122" s="4">
        <v>6259</v>
      </c>
      <c r="I122" s="4"/>
      <c r="J122" s="12">
        <f>IF(H$12=0,0,H122/H$12)</f>
        <v>0.20255007928546001</v>
      </c>
      <c r="K122" s="4"/>
      <c r="L122" s="4">
        <f>+D122-H122</f>
        <v>8171.0599999999995</v>
      </c>
      <c r="M122" s="4"/>
      <c r="N122" s="12">
        <f>IF(H122=0,0,L122/H122)</f>
        <v>1.3054896948394312</v>
      </c>
      <c r="O122" s="10"/>
      <c r="P122" s="4">
        <v>79042.880000000005</v>
      </c>
      <c r="Q122" s="4"/>
      <c r="R122" s="12">
        <f>IF(P$12=0,0,P122/P$12)</f>
        <v>0.2060915243516267</v>
      </c>
      <c r="S122" s="4"/>
      <c r="T122" s="4">
        <v>34352</v>
      </c>
      <c r="U122" s="4"/>
      <c r="V122" s="12">
        <f>IF(T$12=0,0,T122/T$12)</f>
        <v>0.17684336245373256</v>
      </c>
      <c r="W122" s="4"/>
      <c r="X122" s="4">
        <f>+P122-T122</f>
        <v>44690.880000000005</v>
      </c>
      <c r="Y122" s="4"/>
      <c r="Z122" s="12">
        <f>IF(T122=0,0,X122/T122)</f>
        <v>1.30096879366558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126</v>
      </c>
      <c r="C124" s="29"/>
      <c r="D124" s="34">
        <f>+D120-D122</f>
        <v>-46101.120000000032</v>
      </c>
      <c r="E124" s="14"/>
      <c r="F124" s="30">
        <f>IF(D$12=0,0,D124/D$12)</f>
        <v>-0.80505597797168948</v>
      </c>
      <c r="G124" s="14"/>
      <c r="H124" s="34">
        <f>+H120-H122</f>
        <v>-85081.924864579487</v>
      </c>
      <c r="I124" s="14"/>
      <c r="J124" s="30">
        <f>IF(H$12=0,0,H124/H$12)</f>
        <v>-2.7533712457389563</v>
      </c>
      <c r="K124" s="16"/>
      <c r="L124" s="34">
        <f>D124-H124</f>
        <v>38980.804864579455</v>
      </c>
      <c r="M124" s="16"/>
      <c r="N124" s="30">
        <f>IF(H124=0,0,L124/H124)</f>
        <v>-0.45815612336725092</v>
      </c>
      <c r="O124" s="28"/>
      <c r="P124" s="34">
        <f>+P120-P122</f>
        <v>-676673.31</v>
      </c>
      <c r="Q124" s="14"/>
      <c r="R124" s="30">
        <f>IF(P$12=0,0,P124/P$12)</f>
        <v>-1.7643162033817701</v>
      </c>
      <c r="S124" s="14"/>
      <c r="T124" s="34">
        <f>+T120-T122</f>
        <v>-843804.49597303453</v>
      </c>
      <c r="U124" s="14"/>
      <c r="V124" s="30">
        <f>IF(T$12=0,0,T124/T$12)</f>
        <v>-4.3438875268237203</v>
      </c>
      <c r="W124" s="16"/>
      <c r="X124" s="34">
        <f>P124-T124</f>
        <v>167131.18597303447</v>
      </c>
      <c r="Y124" s="16"/>
      <c r="Z124" s="30">
        <f>IF(T124=0,0,X124/T124)</f>
        <v>-0.19806861277778198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294</v>
      </c>
      <c r="C127" s="29"/>
      <c r="D127" s="31">
        <f>SUM(D124:D126)</f>
        <v>-46101.120000000032</v>
      </c>
      <c r="E127" s="14"/>
      <c r="F127" s="35">
        <f>IF(D$12=0,0,D127/D$12)</f>
        <v>-0.80505597797168948</v>
      </c>
      <c r="G127" s="14"/>
      <c r="H127" s="31">
        <f>SUM(H124:H126)</f>
        <v>-85081.924864579487</v>
      </c>
      <c r="I127" s="14"/>
      <c r="J127" s="35">
        <f>IF(H$12=0,0,H127/H$12)</f>
        <v>-2.7533712457389563</v>
      </c>
      <c r="K127" s="16"/>
      <c r="L127" s="31">
        <f>+D127-H127</f>
        <v>38980.804864579455</v>
      </c>
      <c r="M127" s="16"/>
      <c r="N127" s="35">
        <f>IF(H127=0,0,L127/H127)</f>
        <v>-0.45815612336725092</v>
      </c>
      <c r="O127" s="28"/>
      <c r="P127" s="31">
        <f>SUM(P124:P126)</f>
        <v>-676673.31</v>
      </c>
      <c r="Q127" s="14"/>
      <c r="R127" s="35">
        <f>IF(P$12=0,0,P127/P$12)</f>
        <v>-1.7643162033817701</v>
      </c>
      <c r="S127" s="14"/>
      <c r="T127" s="31">
        <f>SUM(T124:T126)</f>
        <v>-843804.49597303453</v>
      </c>
      <c r="U127" s="14"/>
      <c r="V127" s="35">
        <f>IF(T$12=0,0,T127/T$12)</f>
        <v>-4.3438875268237203</v>
      </c>
      <c r="W127" s="16"/>
      <c r="X127" s="31">
        <f>+P127-T127</f>
        <v>167131.18597303447</v>
      </c>
      <c r="Y127" s="16"/>
      <c r="Z127" s="35">
        <f>IF(T127=0,0,X127/T127)</f>
        <v>-0.19806861277778198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44295.961782175924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3" t="s">
        <v>56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4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","405", " - ", "Library Starbucks")</f>
        <v>Department 405 - Library Starbucks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-2369.5500000000002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-2369.5500000000002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-2369.5500000000002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108</v>
      </c>
      <c r="C20" s="29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6"/>
      <c r="L20" s="20">
        <f>+D20-H20</f>
        <v>0</v>
      </c>
      <c r="M20" s="16"/>
      <c r="N20" s="21">
        <f>IF(H20=0,0,L20/H20)</f>
        <v>0</v>
      </c>
      <c r="O20" s="28"/>
      <c r="P20" s="20">
        <f>P12-P16</f>
        <v>2369.5500000000002</v>
      </c>
      <c r="Q20" s="14"/>
      <c r="R20" s="21">
        <f>IF(P$12=0,0,P20/P$12)</f>
        <v>0</v>
      </c>
      <c r="S20" s="14"/>
      <c r="T20" s="20">
        <f>T12-T16</f>
        <v>0</v>
      </c>
      <c r="U20" s="14"/>
      <c r="V20" s="21">
        <f>IF(T$12=0,0,T20/T$12)</f>
        <v>0</v>
      </c>
      <c r="W20" s="16"/>
      <c r="X20" s="20">
        <f>+P20-T20</f>
        <v>2369.5500000000002</v>
      </c>
      <c r="Y20" s="16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295</v>
      </c>
      <c r="C22" s="10"/>
      <c r="D22" s="22">
        <f>SUM(OSRRefD22x_0)</f>
        <v>10256.36</v>
      </c>
      <c r="E22" s="22"/>
      <c r="F22" s="32">
        <f t="shared" ref="F22:F31" si="14">IF(D$12=0,0,D22/D$12)</f>
        <v>0</v>
      </c>
      <c r="G22" s="22"/>
      <c r="H22" s="22">
        <f>SUM(OSRRefH22x_0)</f>
        <v>7384.333333333333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2872.0266666666676</v>
      </c>
      <c r="M22" s="4"/>
      <c r="N22" s="32">
        <f t="shared" ref="N22:N31" si="17">IF(H22=0,0,L22/H22)</f>
        <v>0.38893513293910542</v>
      </c>
      <c r="O22" s="10"/>
      <c r="P22" s="22">
        <f>SUM(OSRRefP22x_0)</f>
        <v>66838.42</v>
      </c>
      <c r="Q22" s="22"/>
      <c r="R22" s="32">
        <f t="shared" ref="R22:R31" si="18">IF(P$12=0,0,P22/P$12)</f>
        <v>0</v>
      </c>
      <c r="S22" s="22"/>
      <c r="T22" s="22">
        <f>SUM(OSRRefT22x_0)</f>
        <v>66750</v>
      </c>
      <c r="U22" s="22"/>
      <c r="V22" s="32">
        <f t="shared" ref="V22:V31" si="19">IF(T$12=0,0,T22/T$12)</f>
        <v>0</v>
      </c>
      <c r="W22" s="4"/>
      <c r="X22" s="22">
        <f t="shared" ref="X22:X31" si="20">+P22-T22</f>
        <v>88.419999999998254</v>
      </c>
      <c r="Y22" s="4"/>
      <c r="Z22" s="32">
        <f t="shared" ref="Z22:Z31" si="21">IF(T22=0,0,X22/T22)</f>
        <v>1.3246441947565282E-3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0.83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0.83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0.83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0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5233.01</v>
      </c>
      <c r="E47" s="1"/>
      <c r="F47" s="5">
        <f t="shared" si="30"/>
        <v>0</v>
      </c>
      <c r="G47" s="1"/>
      <c r="H47" s="1">
        <f>SUM(OSRRefH22_4x_0)</f>
        <v>5233</v>
      </c>
      <c r="I47" s="1"/>
      <c r="J47" s="5">
        <f t="shared" si="31"/>
        <v>0</v>
      </c>
      <c r="K47" s="1"/>
      <c r="L47" s="1">
        <f t="shared" si="32"/>
        <v>1.0000000000218279E-2</v>
      </c>
      <c r="M47" s="1"/>
      <c r="N47" s="5">
        <f t="shared" si="33"/>
        <v>1.910949742063497E-6</v>
      </c>
      <c r="O47" s="13"/>
      <c r="P47" s="1">
        <f>SUM(OSRRefP22_4x_0)</f>
        <v>47388.21</v>
      </c>
      <c r="Q47" s="1"/>
      <c r="R47" s="5">
        <f t="shared" si="34"/>
        <v>0</v>
      </c>
      <c r="S47" s="1"/>
      <c r="T47" s="1">
        <f>SUM(OSRRefT22_4x_0)</f>
        <v>47388</v>
      </c>
      <c r="U47" s="1"/>
      <c r="V47" s="5">
        <f t="shared" si="35"/>
        <v>0</v>
      </c>
      <c r="W47" s="1"/>
      <c r="X47" s="1">
        <f t="shared" si="36"/>
        <v>0.20999999999912689</v>
      </c>
      <c r="Y47" s="1"/>
      <c r="Z47" s="5">
        <f t="shared" si="37"/>
        <v>4.4315016459679009E-6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7">
        <v>4626.5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4626.5</v>
      </c>
      <c r="M48" s="2"/>
      <c r="N48" s="6">
        <f t="shared" si="33"/>
        <v>0</v>
      </c>
      <c r="O48" s="11"/>
      <c r="P48" s="7">
        <v>41638.5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41638.5</v>
      </c>
      <c r="Y48" s="2"/>
      <c r="Z48" s="6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606.51</v>
      </c>
      <c r="E49" s="2"/>
      <c r="F49" s="6">
        <f t="shared" si="30"/>
        <v>0</v>
      </c>
      <c r="G49" s="2"/>
      <c r="H49" s="7">
        <v>5233</v>
      </c>
      <c r="I49" s="2"/>
      <c r="J49" s="6">
        <f t="shared" si="31"/>
        <v>0</v>
      </c>
      <c r="K49" s="2"/>
      <c r="L49" s="7">
        <f t="shared" si="32"/>
        <v>-4626.49</v>
      </c>
      <c r="M49" s="2"/>
      <c r="N49" s="6">
        <f t="shared" si="33"/>
        <v>-0.88409898719663671</v>
      </c>
      <c r="O49" s="11"/>
      <c r="P49" s="7">
        <v>5749.71</v>
      </c>
      <c r="Q49" s="2"/>
      <c r="R49" s="6">
        <f t="shared" si="34"/>
        <v>0</v>
      </c>
      <c r="S49" s="2"/>
      <c r="T49" s="7">
        <v>47388</v>
      </c>
      <c r="U49" s="2"/>
      <c r="V49" s="6">
        <f t="shared" si="35"/>
        <v>0</v>
      </c>
      <c r="W49" s="2"/>
      <c r="X49" s="7">
        <f t="shared" si="36"/>
        <v>-41638.29</v>
      </c>
      <c r="Y49" s="2"/>
      <c r="Z49" s="6">
        <f t="shared" si="37"/>
        <v>-0.87866738414788559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60" si="38">IF(D$12=0,0,D50/D$12)</f>
        <v>0</v>
      </c>
      <c r="G50" s="1"/>
      <c r="H50" s="1">
        <f>SUM(OSRRefH22_5x_0)</f>
        <v>0</v>
      </c>
      <c r="I50" s="1"/>
      <c r="J50" s="5">
        <f t="shared" ref="J50:J60" si="39">IF(H$12=0,0,H50/H$12)</f>
        <v>0</v>
      </c>
      <c r="K50" s="1"/>
      <c r="L50" s="1">
        <f t="shared" ref="L50:L60" si="40">+D50-H50</f>
        <v>0</v>
      </c>
      <c r="M50" s="1"/>
      <c r="N50" s="5">
        <f t="shared" ref="N50:N60" si="41">IF(H50=0,0,L50/H50)</f>
        <v>0</v>
      </c>
      <c r="O50" s="13"/>
      <c r="P50" s="1">
        <f>SUM(OSRRefP22_5x_0)</f>
        <v>0</v>
      </c>
      <c r="Q50" s="1"/>
      <c r="R50" s="5">
        <f t="shared" ref="R50:R60" si="42">IF(P$12=0,0,P50/P$12)</f>
        <v>0</v>
      </c>
      <c r="S50" s="1"/>
      <c r="T50" s="1">
        <f>SUM(OSRRefT22_5x_0)</f>
        <v>0</v>
      </c>
      <c r="U50" s="1"/>
      <c r="V50" s="5">
        <f t="shared" ref="V50:V60" si="43">IF(T$12=0,0,T50/T$12)</f>
        <v>0</v>
      </c>
      <c r="W50" s="1"/>
      <c r="X50" s="1">
        <f t="shared" ref="X50:X60" si="44">+P50-T50</f>
        <v>0</v>
      </c>
      <c r="Y50" s="1"/>
      <c r="Z50" s="5">
        <f t="shared" ref="Z50:Z60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>
        <v>0</v>
      </c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208.333333333333</v>
      </c>
      <c r="I52" s="1"/>
      <c r="J52" s="5">
        <f t="shared" si="39"/>
        <v>0</v>
      </c>
      <c r="K52" s="1"/>
      <c r="L52" s="1">
        <f t="shared" si="40"/>
        <v>-208.333333333333</v>
      </c>
      <c r="M52" s="1"/>
      <c r="N52" s="5">
        <f t="shared" si="41"/>
        <v>-1</v>
      </c>
      <c r="O52" s="13"/>
      <c r="P52" s="1">
        <f>SUM(OSRRefP22_6x_0)</f>
        <v>96.3</v>
      </c>
      <c r="Q52" s="1"/>
      <c r="R52" s="5">
        <f t="shared" si="42"/>
        <v>0</v>
      </c>
      <c r="S52" s="1"/>
      <c r="T52" s="1">
        <f>SUM(OSRRefT22_6x_0)</f>
        <v>1875</v>
      </c>
      <c r="U52" s="1"/>
      <c r="V52" s="5">
        <f t="shared" si="43"/>
        <v>0</v>
      </c>
      <c r="W52" s="1"/>
      <c r="X52" s="1">
        <f t="shared" si="44"/>
        <v>-1778.7</v>
      </c>
      <c r="Y52" s="1"/>
      <c r="Z52" s="5">
        <f t="shared" si="45"/>
        <v>-0.94864000000000004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>
        <v>208.333333333333</v>
      </c>
      <c r="I53" s="2"/>
      <c r="J53" s="6">
        <f t="shared" si="39"/>
        <v>0</v>
      </c>
      <c r="K53" s="2"/>
      <c r="L53" s="7">
        <f t="shared" si="40"/>
        <v>-208.333333333333</v>
      </c>
      <c r="M53" s="2"/>
      <c r="N53" s="6">
        <f t="shared" si="41"/>
        <v>-1</v>
      </c>
      <c r="O53" s="11"/>
      <c r="P53" s="7">
        <v>96.3</v>
      </c>
      <c r="Q53" s="2"/>
      <c r="R53" s="6">
        <f t="shared" si="42"/>
        <v>0</v>
      </c>
      <c r="S53" s="2"/>
      <c r="T53" s="7">
        <v>1875</v>
      </c>
      <c r="U53" s="2"/>
      <c r="V53" s="6">
        <f t="shared" si="43"/>
        <v>0</v>
      </c>
      <c r="W53" s="2"/>
      <c r="X53" s="7">
        <f t="shared" si="44"/>
        <v>-1778.7</v>
      </c>
      <c r="Y53" s="2"/>
      <c r="Z53" s="6">
        <f t="shared" si="45"/>
        <v>-0.94864000000000004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0</v>
      </c>
      <c r="Q54" s="1"/>
      <c r="R54" s="5">
        <f t="shared" si="42"/>
        <v>0</v>
      </c>
      <c r="S54" s="1"/>
      <c r="T54" s="1">
        <f>SUM(OSRRefT22_7x_0)</f>
        <v>0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>
        <v>0</v>
      </c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0</v>
      </c>
      <c r="Q55" s="2"/>
      <c r="R55" s="6">
        <f t="shared" si="42"/>
        <v>0</v>
      </c>
      <c r="S55" s="2"/>
      <c r="T55" s="7">
        <v>0</v>
      </c>
      <c r="U55" s="2"/>
      <c r="V55" s="6">
        <f t="shared" si="43"/>
        <v>0</v>
      </c>
      <c r="W55" s="2"/>
      <c r="X55" s="7">
        <f t="shared" si="44"/>
        <v>0</v>
      </c>
      <c r="Y55" s="2"/>
      <c r="Z55" s="6">
        <f t="shared" si="45"/>
        <v>0</v>
      </c>
    </row>
    <row r="56" spans="1:26" s="25" customFormat="1" outlineLevel="1" collapsed="1" x14ac:dyDescent="0.25">
      <c r="A56" s="27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1943</v>
      </c>
      <c r="I56" s="1"/>
      <c r="J56" s="5">
        <f t="shared" si="39"/>
        <v>0</v>
      </c>
      <c r="K56" s="1"/>
      <c r="L56" s="1">
        <f t="shared" si="40"/>
        <v>-1943</v>
      </c>
      <c r="M56" s="1"/>
      <c r="N56" s="5">
        <f t="shared" si="41"/>
        <v>-1</v>
      </c>
      <c r="O56" s="13"/>
      <c r="P56" s="1">
        <f>SUM(OSRRefP22_8x_0)</f>
        <v>11100</v>
      </c>
      <c r="Q56" s="1"/>
      <c r="R56" s="5">
        <f t="shared" si="42"/>
        <v>0</v>
      </c>
      <c r="S56" s="1"/>
      <c r="T56" s="1">
        <f>SUM(OSRRefT22_8x_0)</f>
        <v>17487</v>
      </c>
      <c r="U56" s="1"/>
      <c r="V56" s="5">
        <f t="shared" si="43"/>
        <v>0</v>
      </c>
      <c r="W56" s="1"/>
      <c r="X56" s="1">
        <f t="shared" si="44"/>
        <v>-6387</v>
      </c>
      <c r="Y56" s="1"/>
      <c r="Z56" s="5">
        <f t="shared" si="45"/>
        <v>-0.36524275175844911</v>
      </c>
    </row>
    <row r="57" spans="1:26" s="24" customFormat="1" hidden="1" outlineLevel="2" x14ac:dyDescent="0.25">
      <c r="A57" s="26"/>
      <c r="B57" s="11" t="str">
        <f>CONCATENATE("          ", "6273", " - ", "RENT")</f>
        <v xml:space="preserve">          6273 - RENT</v>
      </c>
      <c r="C57" s="11"/>
      <c r="D57" s="7"/>
      <c r="E57" s="2"/>
      <c r="F57" s="6">
        <f t="shared" si="38"/>
        <v>0</v>
      </c>
      <c r="G57" s="2"/>
      <c r="H57" s="7">
        <v>1943</v>
      </c>
      <c r="I57" s="2"/>
      <c r="J57" s="6">
        <f t="shared" si="39"/>
        <v>0</v>
      </c>
      <c r="K57" s="2"/>
      <c r="L57" s="7">
        <f t="shared" si="40"/>
        <v>-1943</v>
      </c>
      <c r="M57" s="2"/>
      <c r="N57" s="6">
        <f t="shared" si="41"/>
        <v>-1</v>
      </c>
      <c r="O57" s="11"/>
      <c r="P57" s="7">
        <v>11100</v>
      </c>
      <c r="Q57" s="2"/>
      <c r="R57" s="6">
        <f t="shared" si="42"/>
        <v>0</v>
      </c>
      <c r="S57" s="2"/>
      <c r="T57" s="7">
        <v>17487</v>
      </c>
      <c r="U57" s="2"/>
      <c r="V57" s="6">
        <f t="shared" si="43"/>
        <v>0</v>
      </c>
      <c r="W57" s="2"/>
      <c r="X57" s="7">
        <f t="shared" si="44"/>
        <v>-6387</v>
      </c>
      <c r="Y57" s="2"/>
      <c r="Z57" s="6">
        <f t="shared" si="45"/>
        <v>-0.36524275175844911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5622.35</v>
      </c>
      <c r="E58" s="1"/>
      <c r="F58" s="5">
        <f t="shared" si="38"/>
        <v>0</v>
      </c>
      <c r="G58" s="1"/>
      <c r="H58" s="1">
        <f>SUM(OSRRefH22_9x_0)</f>
        <v>0</v>
      </c>
      <c r="I58" s="1"/>
      <c r="J58" s="5">
        <f t="shared" si="39"/>
        <v>0</v>
      </c>
      <c r="K58" s="1"/>
      <c r="L58" s="1">
        <f t="shared" si="40"/>
        <v>5622.35</v>
      </c>
      <c r="M58" s="1"/>
      <c r="N58" s="5">
        <f t="shared" si="41"/>
        <v>0</v>
      </c>
      <c r="O58" s="13"/>
      <c r="P58" s="1">
        <f>SUM(OSRRefP22_9x_0)</f>
        <v>6387.65</v>
      </c>
      <c r="Q58" s="1"/>
      <c r="R58" s="5">
        <f t="shared" si="42"/>
        <v>0</v>
      </c>
      <c r="S58" s="1"/>
      <c r="T58" s="1">
        <f>SUM(OSRRefT22_9x_0)</f>
        <v>0</v>
      </c>
      <c r="U58" s="1"/>
      <c r="V58" s="5">
        <f t="shared" si="43"/>
        <v>0</v>
      </c>
      <c r="W58" s="1"/>
      <c r="X58" s="1">
        <f t="shared" si="44"/>
        <v>6387.65</v>
      </c>
      <c r="Y58" s="1"/>
      <c r="Z58" s="5">
        <f t="shared" si="4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7">
        <v>5622.35</v>
      </c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5622.35</v>
      </c>
      <c r="M59" s="2"/>
      <c r="N59" s="6">
        <f t="shared" si="41"/>
        <v>0</v>
      </c>
      <c r="O59" s="11"/>
      <c r="P59" s="7">
        <v>5845.65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5845.65</v>
      </c>
      <c r="Y59" s="2"/>
      <c r="Z59" s="6">
        <f t="shared" si="45"/>
        <v>0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542</v>
      </c>
      <c r="Q60" s="2"/>
      <c r="R60" s="6">
        <f t="shared" si="42"/>
        <v>0</v>
      </c>
      <c r="S60" s="2"/>
      <c r="T60" s="7">
        <v>0</v>
      </c>
      <c r="U60" s="2"/>
      <c r="V60" s="6">
        <f t="shared" si="43"/>
        <v>0</v>
      </c>
      <c r="W60" s="2"/>
      <c r="X60" s="7">
        <f t="shared" si="44"/>
        <v>542</v>
      </c>
      <c r="Y60" s="2"/>
      <c r="Z60" s="6">
        <f t="shared" si="45"/>
        <v>0</v>
      </c>
    </row>
    <row r="61" spans="1:26" s="25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7" si="46">IF(D$12=0,0,D61/D$12)</f>
        <v>0</v>
      </c>
      <c r="G61" s="1"/>
      <c r="H61" s="1">
        <f>SUM(OSRRefH22_10x_0)</f>
        <v>0</v>
      </c>
      <c r="I61" s="1"/>
      <c r="J61" s="5">
        <f t="shared" ref="J61:J67" si="47">IF(H$12=0,0,H61/H$12)</f>
        <v>0</v>
      </c>
      <c r="K61" s="1"/>
      <c r="L61" s="1">
        <f t="shared" ref="L61:L67" si="48">+D61-H61</f>
        <v>0</v>
      </c>
      <c r="M61" s="1"/>
      <c r="N61" s="5">
        <f t="shared" ref="N61:N67" si="49">IF(H61=0,0,L61/H61)</f>
        <v>0</v>
      </c>
      <c r="O61" s="13"/>
      <c r="P61" s="1">
        <f>SUM(OSRRefP22_10x_0)</f>
        <v>0</v>
      </c>
      <c r="Q61" s="1"/>
      <c r="R61" s="5">
        <f t="shared" ref="R61:R67" si="50">IF(P$12=0,0,P61/P$12)</f>
        <v>0</v>
      </c>
      <c r="S61" s="1"/>
      <c r="T61" s="1">
        <f>SUM(OSRRefT22_10x_0)</f>
        <v>0</v>
      </c>
      <c r="U61" s="1"/>
      <c r="V61" s="5">
        <f t="shared" ref="V61:V67" si="51">IF(T$12=0,0,T61/T$12)</f>
        <v>0</v>
      </c>
      <c r="W61" s="1"/>
      <c r="X61" s="1">
        <f t="shared" ref="X61:X67" si="52">+P61-T61</f>
        <v>0</v>
      </c>
      <c r="Y61" s="1"/>
      <c r="Z61" s="5">
        <f t="shared" ref="Z61:Z67" si="53">IF(T61=0,0,X61/T61)</f>
        <v>0</v>
      </c>
    </row>
    <row r="62" spans="1:26" s="24" customFormat="1" hidden="1" outlineLevel="2" x14ac:dyDescent="0.25">
      <c r="A62" s="26"/>
      <c r="B62" s="11" t="str">
        <f>CONCATENATE("          ", "6259", " - ", "ROYALTY &amp; COMMISSIONS")</f>
        <v xml:space="preserve">          6259 - ROYALTY &amp; COMMISSIONS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-113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-113</v>
      </c>
      <c r="M63" s="1"/>
      <c r="N63" s="5">
        <f t="shared" si="49"/>
        <v>0</v>
      </c>
      <c r="O63" s="13"/>
      <c r="P63" s="1">
        <f>SUM(OSRRefP22_11x_0)</f>
        <v>462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462</v>
      </c>
      <c r="Y63" s="1"/>
      <c r="Z63" s="5">
        <f t="shared" si="53"/>
        <v>0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7">
        <v>-113</v>
      </c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-113</v>
      </c>
      <c r="M65" s="2"/>
      <c r="N65" s="6">
        <f t="shared" si="49"/>
        <v>0</v>
      </c>
      <c r="O65" s="11"/>
      <c r="P65" s="7">
        <v>462</v>
      </c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462</v>
      </c>
      <c r="Y65" s="2"/>
      <c r="Z65" s="6">
        <f t="shared" si="53"/>
        <v>0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5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0</v>
      </c>
      <c r="E68" s="1"/>
      <c r="F68" s="5">
        <f t="shared" ref="F68:F79" si="54">IF(D$12=0,0,D68/D$12)</f>
        <v>0</v>
      </c>
      <c r="G68" s="1"/>
      <c r="H68" s="1">
        <f>SUM(OSRRefH22_12x_0)</f>
        <v>0</v>
      </c>
      <c r="I68" s="1"/>
      <c r="J68" s="5">
        <f t="shared" ref="J68:J79" si="55">IF(H$12=0,0,H68/H$12)</f>
        <v>0</v>
      </c>
      <c r="K68" s="1"/>
      <c r="L68" s="1">
        <f t="shared" ref="L68:L79" si="56">+D68-H68</f>
        <v>0</v>
      </c>
      <c r="M68" s="1"/>
      <c r="N68" s="5">
        <f t="shared" ref="N68:N79" si="57">IF(H68=0,0,L68/H68)</f>
        <v>0</v>
      </c>
      <c r="O68" s="13"/>
      <c r="P68" s="1">
        <f>SUM(OSRRefP22_12x_0)</f>
        <v>0</v>
      </c>
      <c r="Q68" s="1"/>
      <c r="R68" s="5">
        <f t="shared" ref="R68:R79" si="58">IF(P$12=0,0,P68/P$12)</f>
        <v>0</v>
      </c>
      <c r="S68" s="1"/>
      <c r="T68" s="1">
        <f>SUM(OSRRefT22_12x_0)</f>
        <v>0</v>
      </c>
      <c r="U68" s="1"/>
      <c r="V68" s="5">
        <f t="shared" ref="V68:V79" si="59">IF(T$12=0,0,T68/T$12)</f>
        <v>0</v>
      </c>
      <c r="W68" s="1"/>
      <c r="X68" s="1">
        <f t="shared" ref="X68:X79" si="60">+P68-T68</f>
        <v>0</v>
      </c>
      <c r="Y68" s="1"/>
      <c r="Z68" s="5">
        <f t="shared" ref="Z68:Z79" si="61">IF(T68=0,0,X68/T68)</f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3"/>
      <c r="P70" s="1">
        <f>SUM(OSRRefP22_13x_0)</f>
        <v>72</v>
      </c>
      <c r="Q70" s="1"/>
      <c r="R70" s="5">
        <f t="shared" si="58"/>
        <v>0</v>
      </c>
      <c r="S70" s="1"/>
      <c r="T70" s="1">
        <f>SUM(OSRRefT22_13x_0)</f>
        <v>0</v>
      </c>
      <c r="U70" s="1"/>
      <c r="V70" s="5">
        <f t="shared" si="59"/>
        <v>0</v>
      </c>
      <c r="W70" s="1"/>
      <c r="X70" s="1">
        <f t="shared" si="60"/>
        <v>72</v>
      </c>
      <c r="Y70" s="1"/>
      <c r="Z70" s="5">
        <f t="shared" si="61"/>
        <v>0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>
        <v>72</v>
      </c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72</v>
      </c>
      <c r="Y72" s="2"/>
      <c r="Z72" s="6">
        <f t="shared" si="61"/>
        <v>0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25">
      <c r="A77" s="26"/>
      <c r="B77" s="11" t="str">
        <f>CONCATENATE("          ", "6246", " - ", "REPLACEMENTS")</f>
        <v xml:space="preserve">          6246 - REPLACEMENTS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4"/>
        <v>0</v>
      </c>
      <c r="G78" s="2"/>
      <c r="H78" s="7">
        <v>0</v>
      </c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0</v>
      </c>
      <c r="U79" s="2"/>
      <c r="V79" s="6">
        <f t="shared" si="59"/>
        <v>0</v>
      </c>
      <c r="W79" s="2"/>
      <c r="X79" s="7">
        <f t="shared" si="60"/>
        <v>0</v>
      </c>
      <c r="Y79" s="2"/>
      <c r="Z79" s="6">
        <f t="shared" si="61"/>
        <v>0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0</v>
      </c>
      <c r="E80" s="1"/>
      <c r="F80" s="5">
        <f t="shared" ref="F80:F87" si="62">IF(D$12=0,0,D80/D$12)</f>
        <v>0</v>
      </c>
      <c r="G80" s="1"/>
      <c r="H80" s="1">
        <f>SUM(OSRRefH22_14x_0)</f>
        <v>0</v>
      </c>
      <c r="I80" s="1"/>
      <c r="J80" s="5">
        <f t="shared" ref="J80:J87" si="63">IF(H$12=0,0,H80/H$12)</f>
        <v>0</v>
      </c>
      <c r="K80" s="1"/>
      <c r="L80" s="1">
        <f t="shared" ref="L80:L87" si="64">+D80-H80</f>
        <v>0</v>
      </c>
      <c r="M80" s="1"/>
      <c r="N80" s="5">
        <f t="shared" ref="N80:N87" si="65">IF(H80=0,0,L80/H80)</f>
        <v>0</v>
      </c>
      <c r="O80" s="13"/>
      <c r="P80" s="1">
        <f>SUM(OSRRefP22_14x_0)</f>
        <v>77.430000000000007</v>
      </c>
      <c r="Q80" s="1"/>
      <c r="R80" s="5">
        <f t="shared" ref="R80:R87" si="66">IF(P$12=0,0,P80/P$12)</f>
        <v>0</v>
      </c>
      <c r="S80" s="1"/>
      <c r="T80" s="1">
        <f>SUM(OSRRefT22_14x_0)</f>
        <v>0</v>
      </c>
      <c r="U80" s="1"/>
      <c r="V80" s="5">
        <f t="shared" ref="V80:V87" si="67">IF(T$12=0,0,T80/T$12)</f>
        <v>0</v>
      </c>
      <c r="W80" s="1"/>
      <c r="X80" s="1">
        <f t="shared" ref="X80:X87" si="68">+P80-T80</f>
        <v>77.430000000000007</v>
      </c>
      <c r="Y80" s="1"/>
      <c r="Z80" s="5">
        <f t="shared" ref="Z80:Z87" si="69">IF(T80=0,0,X80/T80)</f>
        <v>0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7"/>
      <c r="E81" s="2"/>
      <c r="F81" s="6">
        <f t="shared" si="62"/>
        <v>0</v>
      </c>
      <c r="G81" s="2"/>
      <c r="H81" s="7">
        <v>0</v>
      </c>
      <c r="I81" s="2"/>
      <c r="J81" s="6">
        <f t="shared" si="63"/>
        <v>0</v>
      </c>
      <c r="K81" s="2"/>
      <c r="L81" s="7">
        <f t="shared" si="64"/>
        <v>0</v>
      </c>
      <c r="M81" s="2"/>
      <c r="N81" s="6">
        <f t="shared" si="65"/>
        <v>0</v>
      </c>
      <c r="O81" s="11"/>
      <c r="P81" s="7">
        <v>77.430000000000007</v>
      </c>
      <c r="Q81" s="2"/>
      <c r="R81" s="6">
        <f t="shared" si="66"/>
        <v>0</v>
      </c>
      <c r="S81" s="2"/>
      <c r="T81" s="7">
        <v>0</v>
      </c>
      <c r="U81" s="2"/>
      <c r="V81" s="6">
        <f t="shared" si="67"/>
        <v>0</v>
      </c>
      <c r="W81" s="2"/>
      <c r="X81" s="7">
        <f t="shared" si="68"/>
        <v>77.430000000000007</v>
      </c>
      <c r="Y81" s="2"/>
      <c r="Z81" s="6">
        <f t="shared" si="69"/>
        <v>0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62"/>
        <v>0</v>
      </c>
      <c r="G82" s="1"/>
      <c r="H82" s="1">
        <f>SUM(OSRRefH22_15x_0)</f>
        <v>0</v>
      </c>
      <c r="I82" s="1"/>
      <c r="J82" s="5">
        <f t="shared" si="63"/>
        <v>0</v>
      </c>
      <c r="K82" s="1"/>
      <c r="L82" s="1">
        <f t="shared" si="64"/>
        <v>0</v>
      </c>
      <c r="M82" s="1"/>
      <c r="N82" s="5">
        <f t="shared" si="65"/>
        <v>0</v>
      </c>
      <c r="O82" s="13"/>
      <c r="P82" s="1">
        <f>SUM(OSRRefP22_15x_0)</f>
        <v>0</v>
      </c>
      <c r="Q82" s="1"/>
      <c r="R82" s="5">
        <f t="shared" si="66"/>
        <v>0</v>
      </c>
      <c r="S82" s="1"/>
      <c r="T82" s="1">
        <f>SUM(OSRRefT22_15x_0)</f>
        <v>0</v>
      </c>
      <c r="U82" s="1"/>
      <c r="V82" s="5">
        <f t="shared" si="67"/>
        <v>0</v>
      </c>
      <c r="W82" s="1"/>
      <c r="X82" s="1">
        <f t="shared" si="68"/>
        <v>0</v>
      </c>
      <c r="Y82" s="1"/>
      <c r="Z82" s="5">
        <f t="shared" si="69"/>
        <v>0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62"/>
        <v>0</v>
      </c>
      <c r="G83" s="2"/>
      <c r="H83" s="7"/>
      <c r="I83" s="2"/>
      <c r="J83" s="6">
        <f t="shared" si="63"/>
        <v>0</v>
      </c>
      <c r="K83" s="2"/>
      <c r="L83" s="7">
        <f t="shared" si="64"/>
        <v>0</v>
      </c>
      <c r="M83" s="2"/>
      <c r="N83" s="6">
        <f t="shared" si="65"/>
        <v>0</v>
      </c>
      <c r="O83" s="11"/>
      <c r="P83" s="7"/>
      <c r="Q83" s="2"/>
      <c r="R83" s="6">
        <f t="shared" si="66"/>
        <v>0</v>
      </c>
      <c r="S83" s="2"/>
      <c r="T83" s="7">
        <v>0</v>
      </c>
      <c r="U83" s="2"/>
      <c r="V83" s="6">
        <f t="shared" si="67"/>
        <v>0</v>
      </c>
      <c r="W83" s="2"/>
      <c r="X83" s="7">
        <f t="shared" si="68"/>
        <v>0</v>
      </c>
      <c r="Y83" s="2"/>
      <c r="Z83" s="6">
        <f t="shared" si="69"/>
        <v>0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0</v>
      </c>
      <c r="E84" s="1"/>
      <c r="F84" s="5">
        <f t="shared" si="62"/>
        <v>0</v>
      </c>
      <c r="G84" s="1"/>
      <c r="H84" s="1">
        <f>SUM(OSRRefH22_16x_0)</f>
        <v>0</v>
      </c>
      <c r="I84" s="1"/>
      <c r="J84" s="5">
        <f t="shared" si="63"/>
        <v>0</v>
      </c>
      <c r="K84" s="1"/>
      <c r="L84" s="1">
        <f t="shared" si="64"/>
        <v>0</v>
      </c>
      <c r="M84" s="1"/>
      <c r="N84" s="5">
        <f t="shared" si="65"/>
        <v>0</v>
      </c>
      <c r="O84" s="13"/>
      <c r="P84" s="1">
        <f>SUM(OSRRefP22_16x_0)</f>
        <v>0</v>
      </c>
      <c r="Q84" s="1"/>
      <c r="R84" s="5">
        <f t="shared" si="66"/>
        <v>0</v>
      </c>
      <c r="S84" s="1"/>
      <c r="T84" s="1">
        <f>SUM(OSRRefT22_16x_0)</f>
        <v>0</v>
      </c>
      <c r="U84" s="1"/>
      <c r="V84" s="5">
        <f t="shared" si="67"/>
        <v>0</v>
      </c>
      <c r="W84" s="1"/>
      <c r="X84" s="1">
        <f t="shared" si="68"/>
        <v>0</v>
      </c>
      <c r="Y84" s="1"/>
      <c r="Z84" s="5">
        <f t="shared" si="69"/>
        <v>0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62"/>
        <v>0</v>
      </c>
      <c r="G85" s="2"/>
      <c r="H85" s="7"/>
      <c r="I85" s="2"/>
      <c r="J85" s="6">
        <f t="shared" si="63"/>
        <v>0</v>
      </c>
      <c r="K85" s="2"/>
      <c r="L85" s="7">
        <f t="shared" si="64"/>
        <v>0</v>
      </c>
      <c r="M85" s="2"/>
      <c r="N85" s="6">
        <f t="shared" si="65"/>
        <v>0</v>
      </c>
      <c r="O85" s="11"/>
      <c r="P85" s="7"/>
      <c r="Q85" s="2"/>
      <c r="R85" s="6">
        <f t="shared" si="66"/>
        <v>0</v>
      </c>
      <c r="S85" s="2"/>
      <c r="T85" s="7">
        <v>0</v>
      </c>
      <c r="U85" s="2"/>
      <c r="V85" s="6">
        <f t="shared" si="67"/>
        <v>0</v>
      </c>
      <c r="W85" s="2"/>
      <c r="X85" s="7">
        <f t="shared" si="68"/>
        <v>0</v>
      </c>
      <c r="Y85" s="2"/>
      <c r="Z85" s="6">
        <f t="shared" si="69"/>
        <v>0</v>
      </c>
    </row>
    <row r="86" spans="1:26" s="25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SUM(OSRRefD22_17x_0)</f>
        <v>-486</v>
      </c>
      <c r="E86" s="1"/>
      <c r="F86" s="5">
        <f t="shared" si="62"/>
        <v>0</v>
      </c>
      <c r="G86" s="1"/>
      <c r="H86" s="1">
        <f>SUM(OSRRefH22_17x_0)</f>
        <v>0</v>
      </c>
      <c r="I86" s="1"/>
      <c r="J86" s="5">
        <f t="shared" si="63"/>
        <v>0</v>
      </c>
      <c r="K86" s="1"/>
      <c r="L86" s="1">
        <f t="shared" si="64"/>
        <v>-486</v>
      </c>
      <c r="M86" s="1"/>
      <c r="N86" s="5">
        <f t="shared" si="65"/>
        <v>0</v>
      </c>
      <c r="O86" s="13"/>
      <c r="P86" s="1">
        <f>SUM(OSRRefP22_17x_0)</f>
        <v>1254</v>
      </c>
      <c r="Q86" s="1"/>
      <c r="R86" s="5">
        <f t="shared" si="66"/>
        <v>0</v>
      </c>
      <c r="S86" s="1"/>
      <c r="T86" s="1">
        <f>SUM(OSRRefT22_17x_0)</f>
        <v>0</v>
      </c>
      <c r="U86" s="1"/>
      <c r="V86" s="5">
        <f t="shared" si="67"/>
        <v>0</v>
      </c>
      <c r="W86" s="1"/>
      <c r="X86" s="1">
        <f t="shared" si="68"/>
        <v>1254</v>
      </c>
      <c r="Y86" s="1"/>
      <c r="Z86" s="5">
        <f t="shared" si="69"/>
        <v>0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7">
        <v>-486</v>
      </c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-486</v>
      </c>
      <c r="M87" s="2"/>
      <c r="N87" s="6">
        <f t="shared" si="65"/>
        <v>0</v>
      </c>
      <c r="O87" s="11"/>
      <c r="P87" s="7">
        <v>1254</v>
      </c>
      <c r="Q87" s="2"/>
      <c r="R87" s="6">
        <f t="shared" si="66"/>
        <v>0</v>
      </c>
      <c r="S87" s="2"/>
      <c r="T87" s="7">
        <v>0</v>
      </c>
      <c r="U87" s="2"/>
      <c r="V87" s="6">
        <f t="shared" si="67"/>
        <v>0</v>
      </c>
      <c r="W87" s="2"/>
      <c r="X87" s="7">
        <f t="shared" si="68"/>
        <v>1254</v>
      </c>
      <c r="Y87" s="2"/>
      <c r="Z87" s="6">
        <f t="shared" si="69"/>
        <v>0</v>
      </c>
    </row>
    <row r="88" spans="1:26" s="59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277</v>
      </c>
      <c r="C91" s="29"/>
      <c r="D91" s="20">
        <f>+D20-D22+D89</f>
        <v>-10256.36</v>
      </c>
      <c r="E91" s="14"/>
      <c r="F91" s="21">
        <f>IF(D$12=0,0,D91/D$12)</f>
        <v>0</v>
      </c>
      <c r="G91" s="14"/>
      <c r="H91" s="20">
        <f>+H20-H22+H89</f>
        <v>-7384.333333333333</v>
      </c>
      <c r="I91" s="14"/>
      <c r="J91" s="21">
        <f>IF(H$12=0,0,H91/H$12)</f>
        <v>0</v>
      </c>
      <c r="K91" s="16"/>
      <c r="L91" s="20">
        <f>+D91-H91</f>
        <v>-2872.0266666666676</v>
      </c>
      <c r="M91" s="16"/>
      <c r="N91" s="21">
        <f>IF(H91=0,0,L91/H91)</f>
        <v>0.38893513293910542</v>
      </c>
      <c r="O91" s="28"/>
      <c r="P91" s="20">
        <f>+P20-P22+P89</f>
        <v>-64468.869999999995</v>
      </c>
      <c r="Q91" s="14"/>
      <c r="R91" s="21">
        <f>IF(P$12=0,0,P91/P$12)</f>
        <v>0</v>
      </c>
      <c r="S91" s="14"/>
      <c r="T91" s="20">
        <f>+T20-T22+T89</f>
        <v>-66750</v>
      </c>
      <c r="U91" s="14"/>
      <c r="V91" s="21">
        <f>IF(T$12=0,0,T91/T$12)</f>
        <v>0</v>
      </c>
      <c r="W91" s="16"/>
      <c r="X91" s="20">
        <f>+P91-T91</f>
        <v>2281.1300000000047</v>
      </c>
      <c r="Y91" s="16"/>
      <c r="Z91" s="21">
        <f>IF(T91=0,0,X91/T91)</f>
        <v>-3.4174232209737899E-2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126</v>
      </c>
      <c r="C95" s="29"/>
      <c r="D95" s="34">
        <f>+D91-D93</f>
        <v>-10256.36</v>
      </c>
      <c r="E95" s="14"/>
      <c r="F95" s="30">
        <f>IF(D$12=0,0,D95/D$12)</f>
        <v>0</v>
      </c>
      <c r="G95" s="14"/>
      <c r="H95" s="34">
        <f>+H91-H93</f>
        <v>-7384.333333333333</v>
      </c>
      <c r="I95" s="14"/>
      <c r="J95" s="30">
        <f>IF(H$12=0,0,H95/H$12)</f>
        <v>0</v>
      </c>
      <c r="K95" s="16"/>
      <c r="L95" s="34">
        <f>D95-H95</f>
        <v>-2872.0266666666676</v>
      </c>
      <c r="M95" s="16"/>
      <c r="N95" s="30">
        <f>IF(H95=0,0,L95/H95)</f>
        <v>0.38893513293910542</v>
      </c>
      <c r="O95" s="28"/>
      <c r="P95" s="34">
        <f>+P91-P93</f>
        <v>-64468.869999999995</v>
      </c>
      <c r="Q95" s="14"/>
      <c r="R95" s="30">
        <f>IF(P$12=0,0,P95/P$12)</f>
        <v>0</v>
      </c>
      <c r="S95" s="14"/>
      <c r="T95" s="34">
        <f>+T91-T93</f>
        <v>-66750</v>
      </c>
      <c r="U95" s="14"/>
      <c r="V95" s="30">
        <f>IF(T$12=0,0,T95/T$12)</f>
        <v>0</v>
      </c>
      <c r="W95" s="16"/>
      <c r="X95" s="34">
        <f>P95-T95</f>
        <v>2281.1300000000047</v>
      </c>
      <c r="Y95" s="16"/>
      <c r="Z95" s="30">
        <f>IF(T95=0,0,X95/T95)</f>
        <v>-3.4174232209737899E-2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294</v>
      </c>
      <c r="C98" s="29"/>
      <c r="D98" s="31">
        <f>SUM(D95:D97)</f>
        <v>-10256.36</v>
      </c>
      <c r="E98" s="14"/>
      <c r="F98" s="35">
        <f>IF(D$12=0,0,D98/D$12)</f>
        <v>0</v>
      </c>
      <c r="G98" s="14"/>
      <c r="H98" s="31">
        <f>SUM(H95:H97)</f>
        <v>-7384.333333333333</v>
      </c>
      <c r="I98" s="14"/>
      <c r="J98" s="35">
        <f>IF(H$12=0,0,H98/H$12)</f>
        <v>0</v>
      </c>
      <c r="K98" s="16"/>
      <c r="L98" s="31">
        <f>+D98-H98</f>
        <v>-2872.0266666666676</v>
      </c>
      <c r="M98" s="16"/>
      <c r="N98" s="35">
        <f>IF(H98=0,0,L98/H98)</f>
        <v>0.38893513293910542</v>
      </c>
      <c r="O98" s="28"/>
      <c r="P98" s="31">
        <f>SUM(P95:P97)</f>
        <v>-64468.869999999995</v>
      </c>
      <c r="Q98" s="14"/>
      <c r="R98" s="35">
        <f>IF(P$12=0,0,P98/P$12)</f>
        <v>0</v>
      </c>
      <c r="S98" s="14"/>
      <c r="T98" s="31">
        <f>SUM(T95:T97)</f>
        <v>-66750</v>
      </c>
      <c r="U98" s="14"/>
      <c r="V98" s="35">
        <f>IF(T$12=0,0,T98/T$12)</f>
        <v>0</v>
      </c>
      <c r="W98" s="16"/>
      <c r="X98" s="31">
        <f>+P98-T98</f>
        <v>2281.1300000000047</v>
      </c>
      <c r="Y98" s="16"/>
      <c r="Z98" s="35">
        <f>IF(T98=0,0,X98/T98)</f>
        <v>-3.4174232209737899E-2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>
        <v>44295.961797766206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3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188.84</v>
      </c>
      <c r="E18" s="22"/>
      <c r="F18" s="32">
        <f t="shared" ref="F18:F28" si="0">IF(D$12=0,0,D18/D$12)</f>
        <v>0</v>
      </c>
      <c r="G18" s="22"/>
      <c r="H18" s="22">
        <f>SUM(OSRRefH22x_0)</f>
        <v>435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-246.16</v>
      </c>
      <c r="M18" s="4"/>
      <c r="N18" s="32">
        <f t="shared" ref="N18:N28" si="3">IF(H18=0,0,L18/H18)</f>
        <v>-0.56588505747126439</v>
      </c>
      <c r="O18" s="10"/>
      <c r="P18" s="22">
        <f>SUM(OSRRefP22x_0)</f>
        <v>2172.4399999999996</v>
      </c>
      <c r="Q18" s="22"/>
      <c r="R18" s="32">
        <f t="shared" ref="R18:R28" si="4">IF(P$12=0,0,P18/P$12)</f>
        <v>0</v>
      </c>
      <c r="S18" s="22"/>
      <c r="T18" s="22">
        <f>SUM(OSRRefT22x_0)</f>
        <v>3915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-1742.5600000000004</v>
      </c>
      <c r="Y18" s="4"/>
      <c r="Z18" s="32">
        <f t="shared" ref="Z18:Z28" si="7">IF(T18=0,0,X18/T18)</f>
        <v>-0.44509833971902946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5" customFormat="1" outlineLevel="1" collapsed="1" x14ac:dyDescent="0.25">
      <c r="A21" s="27"/>
      <c r="B21" s="13" t="str">
        <f>CONCATENATE("     ","Depreciation                                      ")</f>
        <v xml:space="preserve">     Depreciation                                      </v>
      </c>
      <c r="C21" s="13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3"/>
      <c r="P21" s="1">
        <f>SUM(OSRRefP22_1x_0)</f>
        <v>1075.95</v>
      </c>
      <c r="Q21" s="1"/>
      <c r="R21" s="5">
        <f t="shared" si="4"/>
        <v>0</v>
      </c>
      <c r="S21" s="1"/>
      <c r="T21" s="1">
        <f>SUM(OSRRefT22_1x_0)</f>
        <v>3915</v>
      </c>
      <c r="U21" s="1"/>
      <c r="V21" s="5">
        <f t="shared" si="5"/>
        <v>0</v>
      </c>
      <c r="W21" s="1"/>
      <c r="X21" s="1">
        <f t="shared" si="6"/>
        <v>-2839.05</v>
      </c>
      <c r="Y21" s="1"/>
      <c r="Z21" s="5">
        <f t="shared" si="7"/>
        <v>-0.72517241379310349</v>
      </c>
    </row>
    <row r="22" spans="1:26" s="24" customFormat="1" hidden="1" outlineLevel="2" x14ac:dyDescent="0.25">
      <c r="A22" s="26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1075.95</v>
      </c>
      <c r="Q22" s="2"/>
      <c r="R22" s="6">
        <f t="shared" si="4"/>
        <v>0</v>
      </c>
      <c r="S22" s="2"/>
      <c r="T22" s="7">
        <v>3915</v>
      </c>
      <c r="U22" s="2"/>
      <c r="V22" s="6">
        <f t="shared" si="5"/>
        <v>0</v>
      </c>
      <c r="W22" s="2"/>
      <c r="X22" s="7">
        <f t="shared" si="6"/>
        <v>-2839.05</v>
      </c>
      <c r="Y22" s="2"/>
      <c r="Z22" s="6">
        <f t="shared" si="7"/>
        <v>-0.72517241379310349</v>
      </c>
    </row>
    <row r="23" spans="1:26" s="25" customFormat="1" outlineLevel="1" collapsed="1" x14ac:dyDescent="0.25">
      <c r="A23" s="27"/>
      <c r="B23" s="13" t="str">
        <f>CONCATENATE("     ","Equipment Rental                                  ")</f>
        <v xml:space="preserve">     Equipment Rental      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5" customFormat="1" outlineLevel="1" collapsed="1" x14ac:dyDescent="0.25">
      <c r="A25" s="27"/>
      <c r="B25" s="13" t="str">
        <f>CONCATENATE("     ","Repair and Maintenance                            ")</f>
        <v xml:space="preserve">     Repair and Maintenance                            </v>
      </c>
      <c r="C25" s="13"/>
      <c r="D25" s="1">
        <f>SUM(OSRRefD22_3x_0)</f>
        <v>69.290000000000006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69.290000000000006</v>
      </c>
      <c r="M25" s="1"/>
      <c r="N25" s="5">
        <f t="shared" si="3"/>
        <v>0</v>
      </c>
      <c r="O25" s="13"/>
      <c r="P25" s="1">
        <f>SUM(OSRRefP22_3x_0)</f>
        <v>286.47000000000003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286.47000000000003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"6373", " - ", "MAINTENANCE CONTRACTS")</f>
        <v xml:space="preserve">          6373 - MAINTENANCE CONTRACTS</v>
      </c>
      <c r="C26" s="11"/>
      <c r="D26" s="7">
        <v>69.290000000000006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69.290000000000006</v>
      </c>
      <c r="M26" s="2"/>
      <c r="N26" s="6">
        <f t="shared" si="3"/>
        <v>0</v>
      </c>
      <c r="O26" s="11"/>
      <c r="P26" s="7">
        <v>286.47000000000003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286.47000000000003</v>
      </c>
      <c r="Y26" s="2"/>
      <c r="Z26" s="6">
        <f t="shared" si="7"/>
        <v>0</v>
      </c>
    </row>
    <row r="27" spans="1:26" s="25" customFormat="1" outlineLevel="1" collapsed="1" x14ac:dyDescent="0.25">
      <c r="A27" s="27"/>
      <c r="B27" s="13" t="str">
        <f>CONCATENATE("     ","Telephone/Data Lines                              ")</f>
        <v xml:space="preserve">     Telephone/Data Lines 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6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59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293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277</v>
      </c>
      <c r="C32" s="29"/>
      <c r="D32" s="20">
        <f>+D16-D18+D30</f>
        <v>-188.84</v>
      </c>
      <c r="E32" s="14"/>
      <c r="F32" s="21">
        <f>IF(D$12=0,0,D32/D$12)</f>
        <v>0</v>
      </c>
      <c r="G32" s="14"/>
      <c r="H32" s="20">
        <f>+H16-H18+H30</f>
        <v>-435</v>
      </c>
      <c r="I32" s="14"/>
      <c r="J32" s="21">
        <f>IF(H$12=0,0,H32/H$12)</f>
        <v>0</v>
      </c>
      <c r="K32" s="16"/>
      <c r="L32" s="20">
        <f>+D32-H32</f>
        <v>246.16</v>
      </c>
      <c r="M32" s="16"/>
      <c r="N32" s="21">
        <f>IF(H32=0,0,L32/H32)</f>
        <v>-0.56588505747126439</v>
      </c>
      <c r="O32" s="28"/>
      <c r="P32" s="20">
        <f>+P16-P18+P30</f>
        <v>-2172.4399999999996</v>
      </c>
      <c r="Q32" s="14"/>
      <c r="R32" s="21">
        <f>IF(P$12=0,0,P32/P$12)</f>
        <v>0</v>
      </c>
      <c r="S32" s="14"/>
      <c r="T32" s="20">
        <f>+T16-T18+T30</f>
        <v>-3915</v>
      </c>
      <c r="U32" s="14"/>
      <c r="V32" s="21">
        <f>IF(T$12=0,0,T32/T$12)</f>
        <v>0</v>
      </c>
      <c r="W32" s="16"/>
      <c r="X32" s="20">
        <f>+P32-T32</f>
        <v>1742.5600000000004</v>
      </c>
      <c r="Y32" s="16"/>
      <c r="Z32" s="21">
        <f>IF(T32=0,0,X32/T32)</f>
        <v>-0.44509833971902946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128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126</v>
      </c>
      <c r="C36" s="29"/>
      <c r="D36" s="34">
        <f>+D32-D34</f>
        <v>-188.84</v>
      </c>
      <c r="E36" s="14"/>
      <c r="F36" s="30">
        <f>IF(D$12=0,0,D36/D$12)</f>
        <v>0</v>
      </c>
      <c r="G36" s="14"/>
      <c r="H36" s="34">
        <f>+H32-H34</f>
        <v>-435</v>
      </c>
      <c r="I36" s="14"/>
      <c r="J36" s="30">
        <f>IF(H$12=0,0,H36/H$12)</f>
        <v>0</v>
      </c>
      <c r="K36" s="16"/>
      <c r="L36" s="34">
        <f>D36-H36</f>
        <v>246.16</v>
      </c>
      <c r="M36" s="16"/>
      <c r="N36" s="30">
        <f>IF(H36=0,0,L36/H36)</f>
        <v>-0.56588505747126439</v>
      </c>
      <c r="O36" s="28"/>
      <c r="P36" s="34">
        <f>+P32-P34</f>
        <v>-2172.4399999999996</v>
      </c>
      <c r="Q36" s="14"/>
      <c r="R36" s="30">
        <f>IF(P$12=0,0,P36/P$12)</f>
        <v>0</v>
      </c>
      <c r="S36" s="14"/>
      <c r="T36" s="34">
        <f>+T32-T34</f>
        <v>-3915</v>
      </c>
      <c r="U36" s="14"/>
      <c r="V36" s="30">
        <f>IF(T$12=0,0,T36/T$12)</f>
        <v>0</v>
      </c>
      <c r="W36" s="16"/>
      <c r="X36" s="34">
        <f>P36-T36</f>
        <v>1742.5600000000004</v>
      </c>
      <c r="Y36" s="16"/>
      <c r="Z36" s="30">
        <f>IF(T36=0,0,X36/T36)</f>
        <v>-0.44509833971902946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294</v>
      </c>
      <c r="C39" s="29"/>
      <c r="D39" s="31">
        <f>SUM(D36:D38)</f>
        <v>-188.84</v>
      </c>
      <c r="E39" s="14"/>
      <c r="F39" s="35">
        <f>IF(D$12=0,0,D39/D$12)</f>
        <v>0</v>
      </c>
      <c r="G39" s="14"/>
      <c r="H39" s="31">
        <f>SUM(H36:H38)</f>
        <v>-435</v>
      </c>
      <c r="I39" s="14"/>
      <c r="J39" s="35">
        <f>IF(H$12=0,0,H39/H$12)</f>
        <v>0</v>
      </c>
      <c r="K39" s="16"/>
      <c r="L39" s="31">
        <f>+D39-H39</f>
        <v>246.16</v>
      </c>
      <c r="M39" s="16"/>
      <c r="N39" s="35">
        <f>IF(H39=0,0,L39/H39)</f>
        <v>-0.56588505747126439</v>
      </c>
      <c r="O39" s="28"/>
      <c r="P39" s="31">
        <f>SUM(P36:P38)</f>
        <v>-2172.4399999999996</v>
      </c>
      <c r="Q39" s="14"/>
      <c r="R39" s="35">
        <f>IF(P$12=0,0,P39/P$12)</f>
        <v>0</v>
      </c>
      <c r="S39" s="14"/>
      <c r="T39" s="31">
        <f>SUM(T36:T38)</f>
        <v>-3915</v>
      </c>
      <c r="U39" s="14"/>
      <c r="V39" s="35">
        <f>IF(T$12=0,0,T39/T$12)</f>
        <v>0</v>
      </c>
      <c r="W39" s="16"/>
      <c r="X39" s="31">
        <f>+P39-T39</f>
        <v>1742.5600000000004</v>
      </c>
      <c r="Y39" s="16"/>
      <c r="Z39" s="35">
        <f>IF(T39=0,0,X39/T39)</f>
        <v>-0.44509833971902946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6">
        <v>44295.961797766206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3" t="s">
        <v>56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4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28376.869999999995</v>
      </c>
      <c r="E18" s="22"/>
      <c r="F18" s="32">
        <f t="shared" ref="F18:F28" si="0">IF(D$12=0,0,D18/D$12)</f>
        <v>0</v>
      </c>
      <c r="G18" s="22"/>
      <c r="H18" s="22">
        <f>SUM(OSRRefH22x_0)</f>
        <v>17793.461538461539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10583.408461538456</v>
      </c>
      <c r="M18" s="4"/>
      <c r="N18" s="32">
        <f t="shared" ref="N18:N28" si="3">IF(H18=0,0,L18/H18)</f>
        <v>0.59479199360179813</v>
      </c>
      <c r="O18" s="10"/>
      <c r="P18" s="22">
        <f>SUM(OSRRefP22x_0)</f>
        <v>253313.37000000005</v>
      </c>
      <c r="Q18" s="22"/>
      <c r="R18" s="32">
        <f t="shared" ref="R18:R28" si="4">IF(P$12=0,0,P18/P$12)</f>
        <v>0</v>
      </c>
      <c r="S18" s="22"/>
      <c r="T18" s="22">
        <f>SUM(OSRRefT22x_0)</f>
        <v>161213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92100.370000000054</v>
      </c>
      <c r="Y18" s="4"/>
      <c r="Z18" s="32">
        <f t="shared" ref="Z18:Z28" si="7">IF(T18=0,0,X18/T18)</f>
        <v>0.5712961733855213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5648.57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2635.1084615384598</v>
      </c>
      <c r="M19" s="1"/>
      <c r="N19" s="5">
        <f t="shared" si="3"/>
        <v>0.87444569240587011</v>
      </c>
      <c r="O19" s="13"/>
      <c r="P19" s="1">
        <f>SUM(OSRRefP22_0x_0)</f>
        <v>53615.7</v>
      </c>
      <c r="Q19" s="1"/>
      <c r="R19" s="5">
        <f t="shared" si="4"/>
        <v>0</v>
      </c>
      <c r="S19" s="1"/>
      <c r="T19" s="1">
        <f>SUM(OSRRefT22_0x_0)</f>
        <v>28080</v>
      </c>
      <c r="U19" s="1"/>
      <c r="V19" s="5">
        <f t="shared" si="5"/>
        <v>0</v>
      </c>
      <c r="W19" s="1"/>
      <c r="X19" s="1">
        <f t="shared" si="6"/>
        <v>25535.699999999997</v>
      </c>
      <c r="Y19" s="1"/>
      <c r="Z19" s="5">
        <f t="shared" si="7"/>
        <v>0.90939102564102559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852.54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852.54</v>
      </c>
      <c r="M20" s="2"/>
      <c r="N20" s="6">
        <f t="shared" si="3"/>
        <v>0</v>
      </c>
      <c r="O20" s="11"/>
      <c r="P20" s="7">
        <v>7893.71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7893.71</v>
      </c>
      <c r="Y20" s="2"/>
      <c r="Z20" s="6">
        <f t="shared" si="7"/>
        <v>0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36.78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36.78</v>
      </c>
      <c r="M21" s="2"/>
      <c r="N21" s="6">
        <f t="shared" si="3"/>
        <v>0</v>
      </c>
      <c r="O21" s="11"/>
      <c r="P21" s="7">
        <v>477.08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477.08</v>
      </c>
      <c r="Y21" s="2"/>
      <c r="Z21" s="6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1920.87</v>
      </c>
      <c r="E22" s="2"/>
      <c r="F22" s="6">
        <f t="shared" si="0"/>
        <v>0</v>
      </c>
      <c r="G22" s="2"/>
      <c r="H22" s="7">
        <v>2663.4615384615399</v>
      </c>
      <c r="I22" s="2"/>
      <c r="J22" s="6">
        <f t="shared" si="1"/>
        <v>0</v>
      </c>
      <c r="K22" s="2"/>
      <c r="L22" s="7">
        <f t="shared" si="2"/>
        <v>-742.59153846154004</v>
      </c>
      <c r="M22" s="2"/>
      <c r="N22" s="6">
        <f t="shared" si="3"/>
        <v>-0.27880693140794266</v>
      </c>
      <c r="O22" s="11"/>
      <c r="P22" s="7">
        <v>16333.08</v>
      </c>
      <c r="Q22" s="2"/>
      <c r="R22" s="6">
        <f t="shared" si="4"/>
        <v>0</v>
      </c>
      <c r="S22" s="2"/>
      <c r="T22" s="7">
        <v>24930</v>
      </c>
      <c r="U22" s="2"/>
      <c r="V22" s="6">
        <f t="shared" si="5"/>
        <v>0</v>
      </c>
      <c r="W22" s="2"/>
      <c r="X22" s="7">
        <f t="shared" si="6"/>
        <v>-8596.92</v>
      </c>
      <c r="Y22" s="2"/>
      <c r="Z22" s="6">
        <f t="shared" si="7"/>
        <v>-0.34484235860409146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28.98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28.98</v>
      </c>
      <c r="M23" s="2"/>
      <c r="N23" s="6">
        <f t="shared" si="3"/>
        <v>0</v>
      </c>
      <c r="O23" s="11"/>
      <c r="P23" s="7">
        <v>310.99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310.99</v>
      </c>
      <c r="Y23" s="2"/>
      <c r="Z23" s="6">
        <f t="shared" si="7"/>
        <v>0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13260.89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13260.89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1022.52</v>
      </c>
      <c r="M26" s="2"/>
      <c r="N26" s="6">
        <f t="shared" si="3"/>
        <v>0</v>
      </c>
      <c r="O26" s="11"/>
      <c r="P26" s="7">
        <v>9906.08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9906.08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510.58</v>
      </c>
      <c r="M27" s="2"/>
      <c r="N27" s="6">
        <f t="shared" si="3"/>
        <v>0</v>
      </c>
      <c r="O27" s="11"/>
      <c r="P27" s="7">
        <v>4946.45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4946.45</v>
      </c>
      <c r="Y27" s="2"/>
      <c r="Z27" s="6">
        <f t="shared" si="7"/>
        <v>0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55.25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-294.75</v>
      </c>
      <c r="M28" s="2"/>
      <c r="N28" s="6">
        <f t="shared" si="3"/>
        <v>-0.84214285714285719</v>
      </c>
      <c r="O28" s="11"/>
      <c r="P28" s="7">
        <v>487.42</v>
      </c>
      <c r="Q28" s="2"/>
      <c r="R28" s="6">
        <f t="shared" si="4"/>
        <v>0</v>
      </c>
      <c r="S28" s="2"/>
      <c r="T28" s="7">
        <v>3150</v>
      </c>
      <c r="U28" s="2"/>
      <c r="V28" s="6">
        <f t="shared" si="5"/>
        <v>0</v>
      </c>
      <c r="W28" s="2"/>
      <c r="X28" s="7">
        <f t="shared" si="6"/>
        <v>-2662.58</v>
      </c>
      <c r="Y28" s="2"/>
      <c r="Z28" s="6">
        <f t="shared" si="7"/>
        <v>-0.84526349206349205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10037.35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10037.35</v>
      </c>
      <c r="M29" s="1"/>
      <c r="N29" s="5">
        <f t="shared" ref="N29:N39" si="11">IF(H29=0,0,L29/H29)</f>
        <v>0</v>
      </c>
      <c r="O29" s="13"/>
      <c r="P29" s="1">
        <f>SUM(OSRRefP22_1x_0)</f>
        <v>99604.25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99604.25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10037.35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10037.35</v>
      </c>
      <c r="M30" s="2"/>
      <c r="N30" s="6">
        <f t="shared" si="11"/>
        <v>0</v>
      </c>
      <c r="O30" s="11"/>
      <c r="P30" s="7">
        <v>97219.25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97219.25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3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SUM(OSRRefD22_3x_0)</f>
        <v>492.91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492.91</v>
      </c>
      <c r="M42" s="1"/>
      <c r="N42" s="5">
        <f t="shared" si="19"/>
        <v>0</v>
      </c>
      <c r="O42" s="13"/>
      <c r="P42" s="1">
        <f>SUM(OSRRefP22_3x_0)</f>
        <v>3880.4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3880.4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492.91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492.91</v>
      </c>
      <c r="M43" s="2"/>
      <c r="N43" s="6">
        <f t="shared" si="19"/>
        <v>0</v>
      </c>
      <c r="O43" s="11"/>
      <c r="P43" s="7">
        <v>3880.4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3880.4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3"/>
      <c r="P44" s="1">
        <f>SUM(OSRRefP22_4x_0)</f>
        <v>61802.930000000008</v>
      </c>
      <c r="Q44" s="1"/>
      <c r="R44" s="5">
        <f t="shared" si="20"/>
        <v>0</v>
      </c>
      <c r="S44" s="1"/>
      <c r="T44" s="1">
        <f>SUM(OSRRefT22_4x_0)</f>
        <v>61482</v>
      </c>
      <c r="U44" s="1"/>
      <c r="V44" s="5">
        <f t="shared" si="21"/>
        <v>0</v>
      </c>
      <c r="W44" s="1"/>
      <c r="X44" s="1">
        <f t="shared" si="22"/>
        <v>320.93000000000757</v>
      </c>
      <c r="Y44" s="1"/>
      <c r="Z44" s="5">
        <f t="shared" si="23"/>
        <v>5.2199017598647986E-3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17188.310000000001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17188.310000000001</v>
      </c>
      <c r="Y45" s="2"/>
      <c r="Z45" s="6">
        <f t="shared" si="23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44614.62</v>
      </c>
      <c r="Q46" s="2"/>
      <c r="R46" s="6">
        <f t="shared" si="20"/>
        <v>0</v>
      </c>
      <c r="S46" s="2"/>
      <c r="T46" s="7">
        <v>61482</v>
      </c>
      <c r="U46" s="2"/>
      <c r="V46" s="6">
        <f t="shared" si="21"/>
        <v>0</v>
      </c>
      <c r="W46" s="2"/>
      <c r="X46" s="7">
        <f t="shared" si="22"/>
        <v>-16867.379999999997</v>
      </c>
      <c r="Y46" s="2"/>
      <c r="Z46" s="6">
        <f t="shared" si="23"/>
        <v>-0.27434663804040205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91.26</v>
      </c>
      <c r="E47" s="1"/>
      <c r="F47" s="5">
        <f t="shared" ref="F47:F59" si="24">IF(D$12=0,0,D47/D$12)</f>
        <v>0</v>
      </c>
      <c r="G47" s="1"/>
      <c r="H47" s="1">
        <f>SUM(OSRRefH22_5x_0)</f>
        <v>0</v>
      </c>
      <c r="I47" s="1"/>
      <c r="J47" s="5">
        <f t="shared" ref="J47:J59" si="25">IF(H$12=0,0,H47/H$12)</f>
        <v>0</v>
      </c>
      <c r="K47" s="1"/>
      <c r="L47" s="1">
        <f t="shared" ref="L47:L59" si="26">+D47-H47</f>
        <v>91.26</v>
      </c>
      <c r="M47" s="1"/>
      <c r="N47" s="5">
        <f t="shared" ref="N47:N59" si="27">IF(H47=0,0,L47/H47)</f>
        <v>0</v>
      </c>
      <c r="O47" s="13"/>
      <c r="P47" s="1">
        <f>SUM(OSRRefP22_5x_0)</f>
        <v>3019.49</v>
      </c>
      <c r="Q47" s="1"/>
      <c r="R47" s="5">
        <f t="shared" ref="R47:R59" si="28">IF(P$12=0,0,P47/P$12)</f>
        <v>0</v>
      </c>
      <c r="S47" s="1"/>
      <c r="T47" s="1">
        <f>SUM(OSRRefT22_5x_0)</f>
        <v>0</v>
      </c>
      <c r="U47" s="1"/>
      <c r="V47" s="5">
        <f t="shared" ref="V47:V59" si="29">IF(T$12=0,0,T47/T$12)</f>
        <v>0</v>
      </c>
      <c r="W47" s="1"/>
      <c r="X47" s="1">
        <f t="shared" ref="X47:X59" si="30">+P47-T47</f>
        <v>3019.49</v>
      </c>
      <c r="Y47" s="1"/>
      <c r="Z47" s="5">
        <f t="shared" ref="Z47:Z59" si="31">IF(T47=0,0,X47/T47)</f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91.26</v>
      </c>
      <c r="M48" s="2"/>
      <c r="N48" s="6">
        <f t="shared" si="27"/>
        <v>0</v>
      </c>
      <c r="O48" s="11"/>
      <c r="P48" s="7">
        <v>3019.49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3019.49</v>
      </c>
      <c r="Y48" s="2"/>
      <c r="Z48" s="6">
        <f t="shared" si="31"/>
        <v>0</v>
      </c>
    </row>
    <row r="49" spans="1:26" s="25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3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-5.41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-5.41</v>
      </c>
      <c r="Y50" s="2"/>
      <c r="Z50" s="6">
        <f t="shared" si="31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SUM(OSRRefP22_7x_0)</f>
        <v>516.41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516.41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516.41</v>
      </c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516.41</v>
      </c>
      <c r="Y52" s="2"/>
      <c r="Z52" s="6">
        <f t="shared" si="31"/>
        <v>0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3"/>
      <c r="P53" s="1">
        <f>SUM(OSRRefP22_8x_0)</f>
        <v>38501.65</v>
      </c>
      <c r="Q53" s="1"/>
      <c r="R53" s="5">
        <f t="shared" si="28"/>
        <v>0</v>
      </c>
      <c r="S53" s="1"/>
      <c r="T53" s="1">
        <f>SUM(OSRRefT22_8x_0)</f>
        <v>34740</v>
      </c>
      <c r="U53" s="1"/>
      <c r="V53" s="5">
        <f t="shared" si="29"/>
        <v>0</v>
      </c>
      <c r="W53" s="1"/>
      <c r="X53" s="1">
        <f t="shared" si="30"/>
        <v>3761.6500000000015</v>
      </c>
      <c r="Y53" s="1"/>
      <c r="Z53" s="5">
        <f t="shared" si="31"/>
        <v>0.10828008059873349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38501.65</v>
      </c>
      <c r="Q54" s="2"/>
      <c r="R54" s="6">
        <f t="shared" si="28"/>
        <v>0</v>
      </c>
      <c r="S54" s="2"/>
      <c r="T54" s="7">
        <v>34740</v>
      </c>
      <c r="U54" s="2"/>
      <c r="V54" s="6">
        <f t="shared" si="29"/>
        <v>0</v>
      </c>
      <c r="W54" s="2"/>
      <c r="X54" s="7">
        <f t="shared" si="30"/>
        <v>3761.6500000000015</v>
      </c>
      <c r="Y54" s="2"/>
      <c r="Z54" s="6">
        <f t="shared" si="31"/>
        <v>0.10828008059873349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3575.48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3575.48</v>
      </c>
      <c r="M55" s="1"/>
      <c r="N55" s="5">
        <f t="shared" si="27"/>
        <v>0</v>
      </c>
      <c r="O55" s="13"/>
      <c r="P55" s="1">
        <f>SUM(OSRRefP22_9x_0)</f>
        <v>8241.84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8241.84</v>
      </c>
      <c r="Y55" s="1"/>
      <c r="Z55" s="5">
        <f t="shared" si="31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702.27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702.27</v>
      </c>
      <c r="Y56" s="2"/>
      <c r="Z56" s="6">
        <f t="shared" si="31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>
        <v>100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100</v>
      </c>
      <c r="M57" s="2"/>
      <c r="N57" s="6">
        <f t="shared" si="27"/>
        <v>0</v>
      </c>
      <c r="O57" s="11"/>
      <c r="P57" s="7">
        <v>100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100</v>
      </c>
      <c r="Y57" s="2"/>
      <c r="Z57" s="6">
        <f t="shared" si="31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84.41</v>
      </c>
      <c r="E58" s="2"/>
      <c r="F58" s="6">
        <f t="shared" si="24"/>
        <v>0</v>
      </c>
      <c r="G58" s="2"/>
      <c r="H58" s="7">
        <v>0</v>
      </c>
      <c r="I58" s="2"/>
      <c r="J58" s="6">
        <f t="shared" si="25"/>
        <v>0</v>
      </c>
      <c r="K58" s="2"/>
      <c r="L58" s="7">
        <f t="shared" si="26"/>
        <v>84.41</v>
      </c>
      <c r="M58" s="2"/>
      <c r="N58" s="6">
        <f t="shared" si="27"/>
        <v>0</v>
      </c>
      <c r="O58" s="11"/>
      <c r="P58" s="7">
        <v>2215.61</v>
      </c>
      <c r="Q58" s="2"/>
      <c r="R58" s="6">
        <f t="shared" si="28"/>
        <v>0</v>
      </c>
      <c r="S58" s="2"/>
      <c r="T58" s="7">
        <v>0</v>
      </c>
      <c r="U58" s="2"/>
      <c r="V58" s="6">
        <f t="shared" si="29"/>
        <v>0</v>
      </c>
      <c r="W58" s="2"/>
      <c r="X58" s="7">
        <f t="shared" si="30"/>
        <v>2215.61</v>
      </c>
      <c r="Y58" s="2"/>
      <c r="Z58" s="6">
        <f t="shared" si="31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3391.07</v>
      </c>
      <c r="E59" s="2"/>
      <c r="F59" s="6">
        <f t="shared" si="24"/>
        <v>0</v>
      </c>
      <c r="G59" s="2"/>
      <c r="H59" s="7">
        <v>0</v>
      </c>
      <c r="I59" s="2"/>
      <c r="J59" s="6">
        <f t="shared" si="25"/>
        <v>0</v>
      </c>
      <c r="K59" s="2"/>
      <c r="L59" s="7">
        <f t="shared" si="26"/>
        <v>3391.07</v>
      </c>
      <c r="M59" s="2"/>
      <c r="N59" s="6">
        <f t="shared" si="27"/>
        <v>0</v>
      </c>
      <c r="O59" s="11"/>
      <c r="P59" s="7">
        <v>5223.96</v>
      </c>
      <c r="Q59" s="2"/>
      <c r="R59" s="6">
        <f t="shared" si="28"/>
        <v>0</v>
      </c>
      <c r="S59" s="2"/>
      <c r="T59" s="7">
        <v>0</v>
      </c>
      <c r="U59" s="2"/>
      <c r="V59" s="6">
        <f t="shared" si="29"/>
        <v>0</v>
      </c>
      <c r="W59" s="2"/>
      <c r="X59" s="7">
        <f t="shared" si="30"/>
        <v>5223.96</v>
      </c>
      <c r="Y59" s="2"/>
      <c r="Z59" s="6">
        <f t="shared" si="31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SUM(OSRRefD22_10x_0)</f>
        <v>-2899.48</v>
      </c>
      <c r="E60" s="1"/>
      <c r="F60" s="5">
        <f t="shared" ref="F60:F64" si="32">IF(D$12=0,0,D60/D$12)</f>
        <v>0</v>
      </c>
      <c r="G60" s="1"/>
      <c r="H60" s="1">
        <f>SUM(OSRRefH22_10x_0)</f>
        <v>3126</v>
      </c>
      <c r="I60" s="1"/>
      <c r="J60" s="5">
        <f t="shared" ref="J60:J64" si="33">IF(H$12=0,0,H60/H$12)</f>
        <v>0</v>
      </c>
      <c r="K60" s="1"/>
      <c r="L60" s="1">
        <f t="shared" ref="L60:L64" si="34">+D60-H60</f>
        <v>-6025.48</v>
      </c>
      <c r="M60" s="1"/>
      <c r="N60" s="5">
        <f t="shared" ref="N60:N64" si="35">IF(H60=0,0,L60/H60)</f>
        <v>-1.927536788227767</v>
      </c>
      <c r="O60" s="13"/>
      <c r="P60" s="1">
        <f>SUM(OSRRefP22_10x_0)</f>
        <v>22128.080000000002</v>
      </c>
      <c r="Q60" s="1"/>
      <c r="R60" s="5">
        <f t="shared" ref="R60:R64" si="36">IF(P$12=0,0,P60/P$12)</f>
        <v>0</v>
      </c>
      <c r="S60" s="1"/>
      <c r="T60" s="1">
        <f>SUM(OSRRefT22_10x_0)</f>
        <v>26561</v>
      </c>
      <c r="U60" s="1"/>
      <c r="V60" s="5">
        <f t="shared" ref="V60:V64" si="37">IF(T$12=0,0,T60/T$12)</f>
        <v>0</v>
      </c>
      <c r="W60" s="1"/>
      <c r="X60" s="1">
        <f t="shared" ref="X60:X64" si="38">+P60-T60</f>
        <v>-4432.9199999999983</v>
      </c>
      <c r="Y60" s="1"/>
      <c r="Z60" s="5">
        <f t="shared" ref="Z60:Z64" si="39">IF(T60=0,0,X60/T60)</f>
        <v>-0.16689582470539507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1252.52</v>
      </c>
      <c r="E61" s="2"/>
      <c r="F61" s="6">
        <f t="shared" si="32"/>
        <v>0</v>
      </c>
      <c r="G61" s="2"/>
      <c r="H61" s="7">
        <v>626</v>
      </c>
      <c r="I61" s="2"/>
      <c r="J61" s="6">
        <f t="shared" si="33"/>
        <v>0</v>
      </c>
      <c r="K61" s="2"/>
      <c r="L61" s="7">
        <f t="shared" si="34"/>
        <v>626.52</v>
      </c>
      <c r="M61" s="2"/>
      <c r="N61" s="6">
        <f t="shared" si="35"/>
        <v>1.0008306709265176</v>
      </c>
      <c r="O61" s="11"/>
      <c r="P61" s="7">
        <v>5010.08</v>
      </c>
      <c r="Q61" s="2"/>
      <c r="R61" s="6">
        <f t="shared" si="36"/>
        <v>0</v>
      </c>
      <c r="S61" s="2"/>
      <c r="T61" s="7">
        <v>6261</v>
      </c>
      <c r="U61" s="2"/>
      <c r="V61" s="6">
        <f t="shared" si="37"/>
        <v>0</v>
      </c>
      <c r="W61" s="2"/>
      <c r="X61" s="7">
        <f t="shared" si="38"/>
        <v>-1250.92</v>
      </c>
      <c r="Y61" s="2"/>
      <c r="Z61" s="6">
        <f t="shared" si="39"/>
        <v>-0.1997955598147261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7">
        <v>-4152</v>
      </c>
      <c r="E63" s="2"/>
      <c r="F63" s="6">
        <f t="shared" si="32"/>
        <v>0</v>
      </c>
      <c r="G63" s="2"/>
      <c r="H63" s="7">
        <v>2500</v>
      </c>
      <c r="I63" s="2"/>
      <c r="J63" s="6">
        <f t="shared" si="33"/>
        <v>0</v>
      </c>
      <c r="K63" s="2"/>
      <c r="L63" s="7">
        <f t="shared" si="34"/>
        <v>-6652</v>
      </c>
      <c r="M63" s="2"/>
      <c r="N63" s="6">
        <f t="shared" si="35"/>
        <v>-2.6608000000000001</v>
      </c>
      <c r="O63" s="11"/>
      <c r="P63" s="7">
        <v>17118</v>
      </c>
      <c r="Q63" s="2"/>
      <c r="R63" s="6">
        <f t="shared" si="36"/>
        <v>0</v>
      </c>
      <c r="S63" s="2"/>
      <c r="T63" s="7">
        <v>20300</v>
      </c>
      <c r="U63" s="2"/>
      <c r="V63" s="6">
        <f t="shared" si="37"/>
        <v>0</v>
      </c>
      <c r="W63" s="2"/>
      <c r="X63" s="7">
        <f t="shared" si="38"/>
        <v>-3182</v>
      </c>
      <c r="Y63" s="2"/>
      <c r="Z63" s="6">
        <f t="shared" si="39"/>
        <v>-0.15674876847290639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32"/>
        <v>0</v>
      </c>
      <c r="G64" s="2"/>
      <c r="H64" s="7">
        <v>0</v>
      </c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/>
      <c r="Q64" s="2"/>
      <c r="R64" s="6">
        <f t="shared" si="36"/>
        <v>0</v>
      </c>
      <c r="S64" s="2"/>
      <c r="T64" s="7">
        <v>0</v>
      </c>
      <c r="U64" s="2"/>
      <c r="V64" s="6">
        <f t="shared" si="37"/>
        <v>0</v>
      </c>
      <c r="W64" s="2"/>
      <c r="X64" s="7">
        <f t="shared" si="38"/>
        <v>0</v>
      </c>
      <c r="Y64" s="2"/>
      <c r="Z64" s="6">
        <f t="shared" si="39"/>
        <v>0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SUM(OSRRefD22_11x_0)</f>
        <v>119.07</v>
      </c>
      <c r="E65" s="1"/>
      <c r="F65" s="5">
        <f t="shared" ref="F65:F67" si="40">IF(D$12=0,0,D65/D$12)</f>
        <v>0</v>
      </c>
      <c r="G65" s="1"/>
      <c r="H65" s="1">
        <f>SUM(OSRRefH22_11x_0)</f>
        <v>0</v>
      </c>
      <c r="I65" s="1"/>
      <c r="J65" s="5">
        <f t="shared" ref="J65:J67" si="41">IF(H$12=0,0,H65/H$12)</f>
        <v>0</v>
      </c>
      <c r="K65" s="1"/>
      <c r="L65" s="1">
        <f t="shared" ref="L65:L67" si="42">+D65-H65</f>
        <v>119.07</v>
      </c>
      <c r="M65" s="1"/>
      <c r="N65" s="5">
        <f t="shared" ref="N65:N67" si="43">IF(H65=0,0,L65/H65)</f>
        <v>0</v>
      </c>
      <c r="O65" s="13"/>
      <c r="P65" s="1">
        <f>SUM(OSRRefP22_11x_0)</f>
        <v>119.07</v>
      </c>
      <c r="Q65" s="1"/>
      <c r="R65" s="5">
        <f t="shared" ref="R65:R67" si="44">IF(P$12=0,0,P65/P$12)</f>
        <v>0</v>
      </c>
      <c r="S65" s="1"/>
      <c r="T65" s="1">
        <f>SUM(OSRRefT22_11x_0)</f>
        <v>900</v>
      </c>
      <c r="U65" s="1"/>
      <c r="V65" s="5">
        <f t="shared" ref="V65:V67" si="45">IF(T$12=0,0,T65/T$12)</f>
        <v>0</v>
      </c>
      <c r="W65" s="1"/>
      <c r="X65" s="1">
        <f t="shared" ref="X65:X67" si="46">+P65-T65</f>
        <v>-780.93000000000006</v>
      </c>
      <c r="Y65" s="1"/>
      <c r="Z65" s="5">
        <f t="shared" ref="Z65:Z67" si="47">IF(T65=0,0,X65/T65)</f>
        <v>-0.86770000000000003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900</v>
      </c>
      <c r="U66" s="2"/>
      <c r="V66" s="6">
        <f t="shared" si="45"/>
        <v>0</v>
      </c>
      <c r="W66" s="2"/>
      <c r="X66" s="7">
        <f t="shared" si="46"/>
        <v>-900</v>
      </c>
      <c r="Y66" s="2"/>
      <c r="Z66" s="6">
        <f t="shared" si="47"/>
        <v>-1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7">
        <v>119.07</v>
      </c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119.07</v>
      </c>
      <c r="M67" s="2"/>
      <c r="N67" s="6">
        <f t="shared" si="43"/>
        <v>0</v>
      </c>
      <c r="O67" s="11"/>
      <c r="P67" s="7">
        <v>119.07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119.07</v>
      </c>
      <c r="Y67" s="2"/>
      <c r="Z67" s="6">
        <f t="shared" si="47"/>
        <v>0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SUM(OSRRefD22_12x_0)</f>
        <v>0</v>
      </c>
      <c r="E68" s="1"/>
      <c r="F68" s="5">
        <f t="shared" ref="F68:F75" si="48">IF(D$12=0,0,D68/D$12)</f>
        <v>0</v>
      </c>
      <c r="G68" s="1"/>
      <c r="H68" s="1">
        <f>SUM(OSRRefH22_12x_0)</f>
        <v>0</v>
      </c>
      <c r="I68" s="1"/>
      <c r="J68" s="5">
        <f t="shared" ref="J68:J75" si="49">IF(H$12=0,0,H68/H$12)</f>
        <v>0</v>
      </c>
      <c r="K68" s="1"/>
      <c r="L68" s="1">
        <f t="shared" ref="L68:L75" si="50">+D68-H68</f>
        <v>0</v>
      </c>
      <c r="M68" s="1"/>
      <c r="N68" s="5">
        <f t="shared" ref="N68:N75" si="51">IF(H68=0,0,L68/H68)</f>
        <v>0</v>
      </c>
      <c r="O68" s="13"/>
      <c r="P68" s="1">
        <f>SUM(OSRRefP22_12x_0)</f>
        <v>-29072.880000000001</v>
      </c>
      <c r="Q68" s="1"/>
      <c r="R68" s="5">
        <f t="shared" ref="R68:R75" si="52">IF(P$12=0,0,P68/P$12)</f>
        <v>0</v>
      </c>
      <c r="S68" s="1"/>
      <c r="T68" s="1">
        <f>SUM(OSRRefT22_12x_0)</f>
        <v>0</v>
      </c>
      <c r="U68" s="1"/>
      <c r="V68" s="5">
        <f t="shared" ref="V68:V75" si="53">IF(T$12=0,0,T68/T$12)</f>
        <v>0</v>
      </c>
      <c r="W68" s="1"/>
      <c r="X68" s="1">
        <f t="shared" ref="X68:X75" si="54">+P68-T68</f>
        <v>-29072.880000000001</v>
      </c>
      <c r="Y68" s="1"/>
      <c r="Z68" s="5">
        <f t="shared" ref="Z68:Z75" si="55">IF(T68=0,0,X68/T68)</f>
        <v>0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>
        <v>127.89</v>
      </c>
      <c r="Q69" s="2"/>
      <c r="R69" s="6">
        <f t="shared" si="52"/>
        <v>0</v>
      </c>
      <c r="S69" s="2"/>
      <c r="T69" s="7">
        <v>0</v>
      </c>
      <c r="U69" s="2"/>
      <c r="V69" s="6">
        <f t="shared" si="53"/>
        <v>0</v>
      </c>
      <c r="W69" s="2"/>
      <c r="X69" s="7">
        <f t="shared" si="54"/>
        <v>127.89</v>
      </c>
      <c r="Y69" s="2"/>
      <c r="Z69" s="6">
        <f t="shared" si="55"/>
        <v>0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7"/>
      <c r="E70" s="2"/>
      <c r="F70" s="6">
        <f t="shared" si="48"/>
        <v>0</v>
      </c>
      <c r="G70" s="2"/>
      <c r="H70" s="7">
        <v>0</v>
      </c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/>
      <c r="Q70" s="2"/>
      <c r="R70" s="6">
        <f t="shared" si="52"/>
        <v>0</v>
      </c>
      <c r="S70" s="2"/>
      <c r="T70" s="7">
        <v>0</v>
      </c>
      <c r="U70" s="2"/>
      <c r="V70" s="6">
        <f t="shared" si="53"/>
        <v>0</v>
      </c>
      <c r="W70" s="2"/>
      <c r="X70" s="7">
        <f t="shared" si="54"/>
        <v>0</v>
      </c>
      <c r="Y70" s="2"/>
      <c r="Z70" s="6">
        <f t="shared" si="55"/>
        <v>0</v>
      </c>
    </row>
    <row r="71" spans="1:26" s="24" customFormat="1" hidden="1" outlineLevel="2" x14ac:dyDescent="0.25">
      <c r="A71" s="26"/>
      <c r="B71" s="11" t="str">
        <f>CONCATENATE("          ", "6239", " - ", "KITCHEN SUPPLIES")</f>
        <v xml:space="preserve">          6239 - KITCHEN SUPPLIES</v>
      </c>
      <c r="C71" s="11"/>
      <c r="D71" s="7"/>
      <c r="E71" s="2"/>
      <c r="F71" s="6">
        <f t="shared" si="48"/>
        <v>0</v>
      </c>
      <c r="G71" s="2"/>
      <c r="H71" s="7">
        <v>0</v>
      </c>
      <c r="I71" s="2"/>
      <c r="J71" s="6">
        <f t="shared" si="49"/>
        <v>0</v>
      </c>
      <c r="K71" s="2"/>
      <c r="L71" s="7">
        <f t="shared" si="50"/>
        <v>0</v>
      </c>
      <c r="M71" s="2"/>
      <c r="N71" s="6">
        <f t="shared" si="51"/>
        <v>0</v>
      </c>
      <c r="O71" s="11"/>
      <c r="P71" s="7"/>
      <c r="Q71" s="2"/>
      <c r="R71" s="6">
        <f t="shared" si="52"/>
        <v>0</v>
      </c>
      <c r="S71" s="2"/>
      <c r="T71" s="7">
        <v>0</v>
      </c>
      <c r="U71" s="2"/>
      <c r="V71" s="6">
        <f t="shared" si="53"/>
        <v>0</v>
      </c>
      <c r="W71" s="2"/>
      <c r="X71" s="7">
        <f t="shared" si="54"/>
        <v>0</v>
      </c>
      <c r="Y71" s="2"/>
      <c r="Z71" s="6">
        <f t="shared" si="55"/>
        <v>0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48"/>
        <v>0</v>
      </c>
      <c r="G72" s="2"/>
      <c r="H72" s="7">
        <v>0</v>
      </c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-29200.77</v>
      </c>
      <c r="Q72" s="2"/>
      <c r="R72" s="6">
        <f t="shared" si="52"/>
        <v>0</v>
      </c>
      <c r="S72" s="2"/>
      <c r="T72" s="7">
        <v>0</v>
      </c>
      <c r="U72" s="2"/>
      <c r="V72" s="6">
        <f t="shared" si="53"/>
        <v>0</v>
      </c>
      <c r="W72" s="2"/>
      <c r="X72" s="7">
        <f t="shared" si="54"/>
        <v>-29200.77</v>
      </c>
      <c r="Y72" s="2"/>
      <c r="Z72" s="6">
        <f t="shared" si="55"/>
        <v>0</v>
      </c>
    </row>
    <row r="73" spans="1:26" s="24" customFormat="1" hidden="1" outlineLevel="2" x14ac:dyDescent="0.25">
      <c r="A73" s="26"/>
      <c r="B73" s="11" t="str">
        <f>CONCATENATE("          ", "6246", " - ", "REPLACEMENTS")</f>
        <v xml:space="preserve">          6246 - REPLACEMENTS</v>
      </c>
      <c r="C73" s="11"/>
      <c r="D73" s="7"/>
      <c r="E73" s="2"/>
      <c r="F73" s="6">
        <f t="shared" si="48"/>
        <v>0</v>
      </c>
      <c r="G73" s="2"/>
      <c r="H73" s="7">
        <v>0</v>
      </c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/>
      <c r="Q73" s="2"/>
      <c r="R73" s="6">
        <f t="shared" si="52"/>
        <v>0</v>
      </c>
      <c r="S73" s="2"/>
      <c r="T73" s="7">
        <v>0</v>
      </c>
      <c r="U73" s="2"/>
      <c r="V73" s="6">
        <f t="shared" si="53"/>
        <v>0</v>
      </c>
      <c r="W73" s="2"/>
      <c r="X73" s="7">
        <f t="shared" si="54"/>
        <v>0</v>
      </c>
      <c r="Y73" s="2"/>
      <c r="Z73" s="6">
        <f t="shared" si="55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8"/>
        <v>0</v>
      </c>
      <c r="G74" s="2"/>
      <c r="H74" s="7">
        <v>0</v>
      </c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/>
      <c r="Q74" s="2"/>
      <c r="R74" s="6">
        <f t="shared" si="52"/>
        <v>0</v>
      </c>
      <c r="S74" s="2"/>
      <c r="T74" s="7">
        <v>0</v>
      </c>
      <c r="U74" s="2"/>
      <c r="V74" s="6">
        <f t="shared" si="53"/>
        <v>0</v>
      </c>
      <c r="W74" s="2"/>
      <c r="X74" s="7">
        <f t="shared" si="54"/>
        <v>0</v>
      </c>
      <c r="Y74" s="2"/>
      <c r="Z74" s="6">
        <f t="shared" si="55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0</v>
      </c>
      <c r="U75" s="2"/>
      <c r="V75" s="6">
        <f t="shared" si="53"/>
        <v>0</v>
      </c>
      <c r="W75" s="2"/>
      <c r="X75" s="7">
        <f t="shared" si="54"/>
        <v>0</v>
      </c>
      <c r="Y75" s="2"/>
      <c r="Z75" s="6">
        <f t="shared" si="55"/>
        <v>0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96</v>
      </c>
      <c r="E76" s="1"/>
      <c r="F76" s="5">
        <f t="shared" ref="F76:F81" si="56">IF(D$12=0,0,D76/D$12)</f>
        <v>0</v>
      </c>
      <c r="G76" s="1"/>
      <c r="H76" s="1">
        <f>SUM(OSRRefH22_13x_0)</f>
        <v>50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46</v>
      </c>
      <c r="M76" s="1"/>
      <c r="N76" s="5">
        <f t="shared" ref="N76:N81" si="59">IF(H76=0,0,L76/H76)</f>
        <v>0.92</v>
      </c>
      <c r="O76" s="13"/>
      <c r="P76" s="1">
        <f>SUM(OSRRefP22_13x_0)</f>
        <v>1668.63</v>
      </c>
      <c r="Q76" s="1"/>
      <c r="R76" s="5">
        <f t="shared" ref="R76:R81" si="60">IF(P$12=0,0,P76/P$12)</f>
        <v>0</v>
      </c>
      <c r="S76" s="1"/>
      <c r="T76" s="1">
        <f>SUM(OSRRefT22_13x_0)</f>
        <v>450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1218.6300000000001</v>
      </c>
      <c r="Y76" s="1"/>
      <c r="Z76" s="5">
        <f t="shared" ref="Z76:Z81" si="63">IF(T76=0,0,X76/T76)</f>
        <v>2.7080666666666668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96</v>
      </c>
      <c r="E77" s="2"/>
      <c r="F77" s="6">
        <f t="shared" si="56"/>
        <v>0</v>
      </c>
      <c r="G77" s="2"/>
      <c r="H77" s="7">
        <v>50</v>
      </c>
      <c r="I77" s="2"/>
      <c r="J77" s="6">
        <f t="shared" si="57"/>
        <v>0</v>
      </c>
      <c r="K77" s="2"/>
      <c r="L77" s="7">
        <f t="shared" si="58"/>
        <v>46</v>
      </c>
      <c r="M77" s="2"/>
      <c r="N77" s="6">
        <f t="shared" si="59"/>
        <v>0.92</v>
      </c>
      <c r="O77" s="11"/>
      <c r="P77" s="7">
        <v>1668.63</v>
      </c>
      <c r="Q77" s="2"/>
      <c r="R77" s="6">
        <f t="shared" si="60"/>
        <v>0</v>
      </c>
      <c r="S77" s="2"/>
      <c r="T77" s="7">
        <v>450</v>
      </c>
      <c r="U77" s="2"/>
      <c r="V77" s="6">
        <f t="shared" si="61"/>
        <v>0</v>
      </c>
      <c r="W77" s="2"/>
      <c r="X77" s="7">
        <f t="shared" si="62"/>
        <v>1218.6300000000001</v>
      </c>
      <c r="Y77" s="2"/>
      <c r="Z77" s="6">
        <f t="shared" si="63"/>
        <v>2.7080666666666668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SUM(OSRRefD22_14x_0)</f>
        <v>0</v>
      </c>
      <c r="E78" s="1"/>
      <c r="F78" s="5">
        <f t="shared" si="56"/>
        <v>0</v>
      </c>
      <c r="G78" s="1"/>
      <c r="H78" s="1">
        <f>SUM(OSRRefH22_14x_0)</f>
        <v>0</v>
      </c>
      <c r="I78" s="1"/>
      <c r="J78" s="5">
        <f t="shared" si="57"/>
        <v>0</v>
      </c>
      <c r="K78" s="1"/>
      <c r="L78" s="1">
        <f t="shared" si="58"/>
        <v>0</v>
      </c>
      <c r="M78" s="1"/>
      <c r="N78" s="5">
        <f t="shared" si="59"/>
        <v>0</v>
      </c>
      <c r="O78" s="13"/>
      <c r="P78" s="1">
        <f>SUM(OSRRefP22_14x_0)</f>
        <v>332.21</v>
      </c>
      <c r="Q78" s="1"/>
      <c r="R78" s="5">
        <f t="shared" si="60"/>
        <v>0</v>
      </c>
      <c r="S78" s="1"/>
      <c r="T78" s="1">
        <f>SUM(OSRRefT22_14x_0)</f>
        <v>0</v>
      </c>
      <c r="U78" s="1"/>
      <c r="V78" s="5">
        <f t="shared" si="61"/>
        <v>0</v>
      </c>
      <c r="W78" s="1"/>
      <c r="X78" s="1">
        <f t="shared" si="62"/>
        <v>332.21</v>
      </c>
      <c r="Y78" s="1"/>
      <c r="Z78" s="5">
        <f t="shared" si="63"/>
        <v>0</v>
      </c>
    </row>
    <row r="79" spans="1:26" s="24" customFormat="1" hidden="1" outlineLevel="2" x14ac:dyDescent="0.25">
      <c r="A79" s="26"/>
      <c r="B79" s="11" t="str">
        <f>CONCATENATE("          ", "6298", " - ", "VEHICLE MILEAGE")</f>
        <v xml:space="preserve">          6298 - VEHICLE MILEAGE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332.21</v>
      </c>
      <c r="Q79" s="2"/>
      <c r="R79" s="6">
        <f t="shared" si="60"/>
        <v>0</v>
      </c>
      <c r="S79" s="2"/>
      <c r="T79" s="7"/>
      <c r="U79" s="2"/>
      <c r="V79" s="6">
        <f t="shared" si="61"/>
        <v>0</v>
      </c>
      <c r="W79" s="2"/>
      <c r="X79" s="7">
        <f t="shared" si="62"/>
        <v>332.21</v>
      </c>
      <c r="Y79" s="2"/>
      <c r="Z79" s="6">
        <f t="shared" si="63"/>
        <v>0</v>
      </c>
    </row>
    <row r="80" spans="1:26" s="25" customFormat="1" outlineLevel="1" collapsed="1" x14ac:dyDescent="0.25">
      <c r="A80" s="27"/>
      <c r="B80" s="13" t="str">
        <f>CONCATENATE("     ","Utilities                                         ")</f>
        <v xml:space="preserve">     Utilities                                         </v>
      </c>
      <c r="C80" s="13"/>
      <c r="D80" s="1">
        <f>SUM(OSRRefD22_15x_0)</f>
        <v>837</v>
      </c>
      <c r="E80" s="1"/>
      <c r="F80" s="5">
        <f t="shared" si="56"/>
        <v>0</v>
      </c>
      <c r="G80" s="1"/>
      <c r="H80" s="1">
        <f>SUM(OSRRefH22_15x_0)</f>
        <v>1000</v>
      </c>
      <c r="I80" s="1"/>
      <c r="J80" s="5">
        <f t="shared" si="57"/>
        <v>0</v>
      </c>
      <c r="K80" s="1"/>
      <c r="L80" s="1">
        <f t="shared" si="58"/>
        <v>-163</v>
      </c>
      <c r="M80" s="1"/>
      <c r="N80" s="5">
        <f t="shared" si="59"/>
        <v>-0.16300000000000001</v>
      </c>
      <c r="O80" s="13"/>
      <c r="P80" s="1">
        <f>SUM(OSRRefP22_15x_0)</f>
        <v>-11039</v>
      </c>
      <c r="Q80" s="1"/>
      <c r="R80" s="5">
        <f t="shared" si="60"/>
        <v>0</v>
      </c>
      <c r="S80" s="1"/>
      <c r="T80" s="1">
        <f>SUM(OSRRefT22_15x_0)</f>
        <v>9000</v>
      </c>
      <c r="U80" s="1"/>
      <c r="V80" s="5">
        <f t="shared" si="61"/>
        <v>0</v>
      </c>
      <c r="W80" s="1"/>
      <c r="X80" s="1">
        <f t="shared" si="62"/>
        <v>-20039</v>
      </c>
      <c r="Y80" s="1"/>
      <c r="Z80" s="5">
        <f t="shared" si="63"/>
        <v>-2.2265555555555556</v>
      </c>
    </row>
    <row r="81" spans="1:26" s="24" customFormat="1" hidden="1" outlineLevel="2" x14ac:dyDescent="0.25">
      <c r="A81" s="26"/>
      <c r="B81" s="11" t="str">
        <f>CONCATENATE("          ", "6274", " - ", "UTILITIES")</f>
        <v xml:space="preserve">          6274 - UTILITIES</v>
      </c>
      <c r="C81" s="11"/>
      <c r="D81" s="7">
        <v>837</v>
      </c>
      <c r="E81" s="2"/>
      <c r="F81" s="6">
        <f t="shared" si="56"/>
        <v>0</v>
      </c>
      <c r="G81" s="2"/>
      <c r="H81" s="7">
        <v>1000</v>
      </c>
      <c r="I81" s="2"/>
      <c r="J81" s="6">
        <f t="shared" si="57"/>
        <v>0</v>
      </c>
      <c r="K81" s="2"/>
      <c r="L81" s="7">
        <f t="shared" si="58"/>
        <v>-163</v>
      </c>
      <c r="M81" s="2"/>
      <c r="N81" s="6">
        <f t="shared" si="59"/>
        <v>-0.16300000000000001</v>
      </c>
      <c r="O81" s="11"/>
      <c r="P81" s="7">
        <v>-11039</v>
      </c>
      <c r="Q81" s="2"/>
      <c r="R81" s="6">
        <f t="shared" si="60"/>
        <v>0</v>
      </c>
      <c r="S81" s="2"/>
      <c r="T81" s="7">
        <v>9000</v>
      </c>
      <c r="U81" s="2"/>
      <c r="V81" s="6">
        <f t="shared" si="61"/>
        <v>0</v>
      </c>
      <c r="W81" s="2"/>
      <c r="X81" s="7">
        <f t="shared" si="62"/>
        <v>-20039</v>
      </c>
      <c r="Y81" s="2"/>
      <c r="Z81" s="6">
        <f t="shared" si="63"/>
        <v>-2.2265555555555556</v>
      </c>
    </row>
    <row r="82" spans="1:26" s="59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8" t="s">
        <v>293</v>
      </c>
      <c r="C83" s="10"/>
      <c r="D83" s="4">
        <f>SUM(OSRRefD25x_0)</f>
        <v>3116.44</v>
      </c>
      <c r="E83" s="4"/>
      <c r="F83" s="12">
        <f t="shared" ref="F83:F85" si="64">IF(D$12=0,0,D83/D$12)</f>
        <v>0</v>
      </c>
      <c r="G83" s="4"/>
      <c r="H83" s="4">
        <f>SUM(OSRRefH25x_0)</f>
        <v>0</v>
      </c>
      <c r="I83" s="4"/>
      <c r="J83" s="12">
        <f t="shared" ref="J83:J85" si="65">IF(H$12=0,0,H83/H$12)</f>
        <v>0</v>
      </c>
      <c r="K83" s="4"/>
      <c r="L83" s="4">
        <f t="shared" ref="L83:L85" si="66">+D83-H83</f>
        <v>3116.44</v>
      </c>
      <c r="M83" s="4"/>
      <c r="N83" s="12">
        <f t="shared" ref="N83:N85" si="67">IF(H83=0,0,L83/H83)</f>
        <v>0</v>
      </c>
      <c r="O83" s="10"/>
      <c r="P83" s="4">
        <f>SUM(OSRRefP25x_0)</f>
        <v>5549.42</v>
      </c>
      <c r="Q83" s="4"/>
      <c r="R83" s="12">
        <f t="shared" ref="R83:R85" si="68">IF(P$12=0,0,P83/P$12)</f>
        <v>0</v>
      </c>
      <c r="S83" s="4"/>
      <c r="T83" s="4">
        <f>SUM(OSRRefT25x_0)</f>
        <v>0</v>
      </c>
      <c r="U83" s="4"/>
      <c r="V83" s="12">
        <f t="shared" ref="V83:V85" si="69">IF(T$12=0,0,T83/T$12)</f>
        <v>0</v>
      </c>
      <c r="W83" s="4"/>
      <c r="X83" s="4">
        <f t="shared" ref="X83:X85" si="70">+P83-T83</f>
        <v>5549.42</v>
      </c>
      <c r="Y83" s="4"/>
      <c r="Z83" s="12">
        <f t="shared" ref="Z83:Z85" si="71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--3116.44</f>
        <v>3116.44</v>
      </c>
      <c r="E84" s="2"/>
      <c r="F84" s="19">
        <f t="shared" si="64"/>
        <v>0</v>
      </c>
      <c r="G84" s="2"/>
      <c r="H84" s="2">
        <v>0</v>
      </c>
      <c r="I84" s="2"/>
      <c r="J84" s="19">
        <f t="shared" si="65"/>
        <v>0</v>
      </c>
      <c r="K84" s="2"/>
      <c r="L84" s="2">
        <f t="shared" si="66"/>
        <v>3116.44</v>
      </c>
      <c r="M84" s="2"/>
      <c r="N84" s="19">
        <f t="shared" si="67"/>
        <v>0</v>
      </c>
      <c r="O84" s="11"/>
      <c r="P84" s="2">
        <f>--4733.07</f>
        <v>4733.07</v>
      </c>
      <c r="Q84" s="2"/>
      <c r="R84" s="19">
        <f t="shared" si="68"/>
        <v>0</v>
      </c>
      <c r="S84" s="2"/>
      <c r="T84" s="2">
        <v>0</v>
      </c>
      <c r="U84" s="2"/>
      <c r="V84" s="19">
        <f t="shared" si="69"/>
        <v>0</v>
      </c>
      <c r="W84" s="2"/>
      <c r="X84" s="2">
        <f t="shared" si="70"/>
        <v>4733.07</v>
      </c>
      <c r="Y84" s="2"/>
      <c r="Z84" s="19">
        <f t="shared" si="71"/>
        <v>0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64"/>
        <v>0</v>
      </c>
      <c r="G85" s="2"/>
      <c r="H85" s="2"/>
      <c r="I85" s="2"/>
      <c r="J85" s="19">
        <f t="shared" si="65"/>
        <v>0</v>
      </c>
      <c r="K85" s="2"/>
      <c r="L85" s="2">
        <f t="shared" si="66"/>
        <v>0</v>
      </c>
      <c r="M85" s="2"/>
      <c r="N85" s="19">
        <f t="shared" si="67"/>
        <v>0</v>
      </c>
      <c r="O85" s="11"/>
      <c r="P85" s="2">
        <f>--816.35</f>
        <v>816.35</v>
      </c>
      <c r="Q85" s="2"/>
      <c r="R85" s="19">
        <f t="shared" si="68"/>
        <v>0</v>
      </c>
      <c r="S85" s="2"/>
      <c r="T85" s="2"/>
      <c r="U85" s="2"/>
      <c r="V85" s="19">
        <f t="shared" si="69"/>
        <v>0</v>
      </c>
      <c r="W85" s="2"/>
      <c r="X85" s="2">
        <f t="shared" si="70"/>
        <v>816.35</v>
      </c>
      <c r="Y85" s="2"/>
      <c r="Z85" s="19">
        <f t="shared" si="71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277</v>
      </c>
      <c r="C87" s="29"/>
      <c r="D87" s="20">
        <f>+D16-D18+D83</f>
        <v>-25260.429999999997</v>
      </c>
      <c r="E87" s="14"/>
      <c r="F87" s="21">
        <f>IF(D$12=0,0,D87/D$12)</f>
        <v>0</v>
      </c>
      <c r="G87" s="14"/>
      <c r="H87" s="20">
        <f>+H16-H18+H83</f>
        <v>-17793.461538461539</v>
      </c>
      <c r="I87" s="14"/>
      <c r="J87" s="21">
        <f>IF(H$12=0,0,H87/H$12)</f>
        <v>0</v>
      </c>
      <c r="K87" s="16"/>
      <c r="L87" s="20">
        <f>+D87-H87</f>
        <v>-7466.9684615384576</v>
      </c>
      <c r="M87" s="16"/>
      <c r="N87" s="21">
        <f>IF(H87=0,0,L87/H87)</f>
        <v>0.41964675874889196</v>
      </c>
      <c r="O87" s="28"/>
      <c r="P87" s="20">
        <f>+P16-P18+P83</f>
        <v>-247763.95000000004</v>
      </c>
      <c r="Q87" s="14"/>
      <c r="R87" s="21">
        <f>IF(P$12=0,0,P87/P$12)</f>
        <v>0</v>
      </c>
      <c r="S87" s="14"/>
      <c r="T87" s="20">
        <f>+T16-T18+T83</f>
        <v>-161213</v>
      </c>
      <c r="U87" s="14"/>
      <c r="V87" s="21">
        <f>IF(T$12=0,0,T87/T$12)</f>
        <v>0</v>
      </c>
      <c r="W87" s="16"/>
      <c r="X87" s="20">
        <f>+P87-T87</f>
        <v>-86550.950000000041</v>
      </c>
      <c r="Y87" s="16"/>
      <c r="Z87" s="21">
        <f>IF(T87=0,0,X87/T87)</f>
        <v>0.53687326704422123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126</v>
      </c>
      <c r="C91" s="29"/>
      <c r="D91" s="34">
        <f>+D87-D89</f>
        <v>-25260.429999999997</v>
      </c>
      <c r="E91" s="14"/>
      <c r="F91" s="30">
        <f>IF(D$12=0,0,D91/D$12)</f>
        <v>0</v>
      </c>
      <c r="G91" s="14"/>
      <c r="H91" s="34">
        <f>+H87-H89</f>
        <v>-17793.461538461539</v>
      </c>
      <c r="I91" s="14"/>
      <c r="J91" s="30">
        <f>IF(H$12=0,0,H91/H$12)</f>
        <v>0</v>
      </c>
      <c r="K91" s="16"/>
      <c r="L91" s="34">
        <f>D91-H91</f>
        <v>-7466.9684615384576</v>
      </c>
      <c r="M91" s="16"/>
      <c r="N91" s="30">
        <f>IF(H91=0,0,L91/H91)</f>
        <v>0.41964675874889196</v>
      </c>
      <c r="O91" s="28"/>
      <c r="P91" s="34">
        <f>+P87-P89</f>
        <v>-247763.95000000004</v>
      </c>
      <c r="Q91" s="14"/>
      <c r="R91" s="30">
        <f>IF(P$12=0,0,P91/P$12)</f>
        <v>0</v>
      </c>
      <c r="S91" s="14"/>
      <c r="T91" s="34">
        <f>+T87-T89</f>
        <v>-161213</v>
      </c>
      <c r="U91" s="14"/>
      <c r="V91" s="30">
        <f>IF(T$12=0,0,T91/T$12)</f>
        <v>0</v>
      </c>
      <c r="W91" s="16"/>
      <c r="X91" s="34">
        <f>P91-T91</f>
        <v>-86550.950000000041</v>
      </c>
      <c r="Y91" s="16"/>
      <c r="Z91" s="30">
        <f>IF(T91=0,0,X91/T91)</f>
        <v>0.53687326704422123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294</v>
      </c>
      <c r="C94" s="29"/>
      <c r="D94" s="31">
        <f>SUM(D91:D93)</f>
        <v>-25260.429999999997</v>
      </c>
      <c r="E94" s="14"/>
      <c r="F94" s="35">
        <f>IF(D$12=0,0,D94/D$12)</f>
        <v>0</v>
      </c>
      <c r="G94" s="14"/>
      <c r="H94" s="31">
        <f>SUM(H91:H93)</f>
        <v>-17793.461538461539</v>
      </c>
      <c r="I94" s="14"/>
      <c r="J94" s="35">
        <f>IF(H$12=0,0,H94/H$12)</f>
        <v>0</v>
      </c>
      <c r="K94" s="16"/>
      <c r="L94" s="31">
        <f>+D94-H94</f>
        <v>-7466.9684615384576</v>
      </c>
      <c r="M94" s="16"/>
      <c r="N94" s="35">
        <f>IF(H94=0,0,L94/H94)</f>
        <v>0.41964675874889196</v>
      </c>
      <c r="O94" s="28"/>
      <c r="P94" s="31">
        <f>SUM(P91:P93)</f>
        <v>-247763.95000000004</v>
      </c>
      <c r="Q94" s="14"/>
      <c r="R94" s="35">
        <f>IF(P$12=0,0,P94/P$12)</f>
        <v>0</v>
      </c>
      <c r="S94" s="14"/>
      <c r="T94" s="31">
        <f>SUM(T91:T93)</f>
        <v>-161213</v>
      </c>
      <c r="U94" s="14"/>
      <c r="V94" s="35">
        <f>IF(T$12=0,0,T94/T$12)</f>
        <v>0</v>
      </c>
      <c r="W94" s="16"/>
      <c r="X94" s="31">
        <f>+P94-T94</f>
        <v>-86550.950000000041</v>
      </c>
      <c r="Y94" s="16"/>
      <c r="Z94" s="35">
        <f>IF(T94=0,0,X94/T94)</f>
        <v>0.53687326704422123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>
        <v>44295.961797766206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3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4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0</v>
      </c>
      <c r="I18" s="14"/>
      <c r="J18" s="21">
        <f>IF(H$12=0,0,H18/H$12)</f>
        <v>0</v>
      </c>
      <c r="K18" s="16"/>
      <c r="L18" s="20">
        <f>+D18-H18</f>
        <v>0</v>
      </c>
      <c r="M18" s="16"/>
      <c r="N18" s="21">
        <f>IF(H18=0,0,L18/H18)</f>
        <v>0</v>
      </c>
      <c r="O18" s="28"/>
      <c r="P18" s="20">
        <f>P12-P15</f>
        <v>0</v>
      </c>
      <c r="Q18" s="14"/>
      <c r="R18" s="21">
        <f>IF(P$12=0,0,P18/P$12)</f>
        <v>0</v>
      </c>
      <c r="S18" s="14"/>
      <c r="T18" s="20">
        <f>T12-T15</f>
        <v>0</v>
      </c>
      <c r="U18" s="14"/>
      <c r="V18" s="21">
        <f>IF(T$12=0,0,T18/T$12)</f>
        <v>0</v>
      </c>
      <c r="W18" s="16"/>
      <c r="X18" s="20">
        <f>+P18-T18</f>
        <v>0</v>
      </c>
      <c r="Y18" s="16"/>
      <c r="Z18" s="21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>
        <f>SUM(OSRRefD22x_0)</f>
        <v>673.96</v>
      </c>
      <c r="E20" s="22"/>
      <c r="F20" s="32">
        <f t="shared" ref="F20:F29" si="12">IF(D$12=0,0,D20/D$12)</f>
        <v>0</v>
      </c>
      <c r="G20" s="22"/>
      <c r="H20" s="22">
        <f>SUM(OSRRefH22x_0)</f>
        <v>848</v>
      </c>
      <c r="I20" s="22"/>
      <c r="J20" s="32">
        <f t="shared" ref="J20:J29" si="13">IF(H$12=0,0,H20/H$12)</f>
        <v>0</v>
      </c>
      <c r="K20" s="4"/>
      <c r="L20" s="22">
        <f t="shared" ref="L20:L29" si="14">+D20-H20</f>
        <v>-174.03999999999996</v>
      </c>
      <c r="M20" s="4"/>
      <c r="N20" s="32">
        <f t="shared" ref="N20:N29" si="15">IF(H20=0,0,L20/H20)</f>
        <v>-0.20523584905660372</v>
      </c>
      <c r="O20" s="10"/>
      <c r="P20" s="22">
        <f>SUM(OSRRefP22x_0)</f>
        <v>7950.2099999999991</v>
      </c>
      <c r="Q20" s="22"/>
      <c r="R20" s="32">
        <f t="shared" ref="R20:R29" si="16">IF(P$12=0,0,P20/P$12)</f>
        <v>0</v>
      </c>
      <c r="S20" s="22"/>
      <c r="T20" s="22">
        <f>SUM(OSRRefT22x_0)</f>
        <v>7632</v>
      </c>
      <c r="U20" s="22"/>
      <c r="V20" s="32">
        <f t="shared" ref="V20:V29" si="17">IF(T$12=0,0,T20/T$12)</f>
        <v>0</v>
      </c>
      <c r="W20" s="4"/>
      <c r="X20" s="22">
        <f t="shared" ref="X20:X29" si="18">+P20-T20</f>
        <v>318.20999999999913</v>
      </c>
      <c r="Y20" s="4"/>
      <c r="Z20" s="32">
        <f t="shared" ref="Z20:Z29" si="19">IF(T20=0,0,X20/T20)</f>
        <v>4.1694182389936996E-2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3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3"/>
      <c r="P45" s="1">
        <f>SUM(OSRRefP22_4x_0)</f>
        <v>5535.23</v>
      </c>
      <c r="Q45" s="1"/>
      <c r="R45" s="5">
        <f t="shared" si="32"/>
        <v>0</v>
      </c>
      <c r="S45" s="1"/>
      <c r="T45" s="1">
        <f>SUM(OSRRefT22_4x_0)</f>
        <v>7632</v>
      </c>
      <c r="U45" s="1"/>
      <c r="V45" s="5">
        <f t="shared" si="33"/>
        <v>0</v>
      </c>
      <c r="W45" s="1"/>
      <c r="X45" s="1">
        <f t="shared" si="34"/>
        <v>-2096.7700000000004</v>
      </c>
      <c r="Y45" s="1"/>
      <c r="Z45" s="5">
        <f t="shared" si="35"/>
        <v>-0.27473401467505248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5535.23</v>
      </c>
      <c r="Q46" s="2"/>
      <c r="R46" s="6">
        <f t="shared" si="32"/>
        <v>0</v>
      </c>
      <c r="S46" s="2"/>
      <c r="T46" s="7">
        <v>2682</v>
      </c>
      <c r="U46" s="2"/>
      <c r="V46" s="6">
        <f t="shared" si="33"/>
        <v>0</v>
      </c>
      <c r="W46" s="2"/>
      <c r="X46" s="7">
        <f t="shared" si="34"/>
        <v>2853.2299999999996</v>
      </c>
      <c r="Y46" s="2"/>
      <c r="Z46" s="6">
        <f t="shared" si="35"/>
        <v>1.0638441461595822</v>
      </c>
    </row>
    <row r="47" spans="1:26" s="24" customFormat="1" hidden="1" outlineLevel="2" x14ac:dyDescent="0.25">
      <c r="A47" s="26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4950</v>
      </c>
      <c r="U47" s="2"/>
      <c r="V47" s="6">
        <f t="shared" si="33"/>
        <v>0</v>
      </c>
      <c r="W47" s="2"/>
      <c r="X47" s="7">
        <f t="shared" si="34"/>
        <v>-4950</v>
      </c>
      <c r="Y47" s="2"/>
      <c r="Z47" s="6">
        <f t="shared" si="35"/>
        <v>-1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3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60.6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60.6</v>
      </c>
      <c r="M54" s="1"/>
      <c r="N54" s="5">
        <f t="shared" si="39"/>
        <v>0</v>
      </c>
      <c r="O54" s="13"/>
      <c r="P54" s="1">
        <f>SUM(OSRRefP22_8x_0)</f>
        <v>1677.13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1677.13</v>
      </c>
      <c r="Y54" s="1"/>
      <c r="Z54" s="5">
        <f t="shared" si="43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60.6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60.6</v>
      </c>
      <c r="M55" s="2"/>
      <c r="N55" s="6">
        <f t="shared" si="39"/>
        <v>0</v>
      </c>
      <c r="O55" s="11"/>
      <c r="P55" s="7">
        <v>339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339</v>
      </c>
      <c r="Y55" s="2"/>
      <c r="Z55" s="6">
        <f t="shared" si="43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5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3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6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5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3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3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6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/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/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3"/>
      <c r="P70" s="1">
        <f>SUM(OSRRefP22_12x_0)</f>
        <v>401.03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401.03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6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401.03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401.03</v>
      </c>
      <c r="Y72" s="2"/>
      <c r="Z72" s="6">
        <f t="shared" si="67"/>
        <v>0</v>
      </c>
    </row>
    <row r="73" spans="1:26" s="25" customFormat="1" outlineLevel="1" collapsed="1" x14ac:dyDescent="0.25">
      <c r="A73" s="27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3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6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59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293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277</v>
      </c>
      <c r="C78" s="29"/>
      <c r="D78" s="20">
        <f>+D18-D20+D76</f>
        <v>-673.96</v>
      </c>
      <c r="E78" s="14"/>
      <c r="F78" s="21">
        <f>IF(D$12=0,0,D78/D$12)</f>
        <v>0</v>
      </c>
      <c r="G78" s="14"/>
      <c r="H78" s="20">
        <f>+H18-H20+H76</f>
        <v>-848</v>
      </c>
      <c r="I78" s="14"/>
      <c r="J78" s="21">
        <f>IF(H$12=0,0,H78/H$12)</f>
        <v>0</v>
      </c>
      <c r="K78" s="16"/>
      <c r="L78" s="20">
        <f>+D78-H78</f>
        <v>174.03999999999996</v>
      </c>
      <c r="M78" s="16"/>
      <c r="N78" s="21">
        <f>IF(H78=0,0,L78/H78)</f>
        <v>-0.20523584905660372</v>
      </c>
      <c r="O78" s="28"/>
      <c r="P78" s="20">
        <f>+P18-P20+P76</f>
        <v>-7950.2099999999991</v>
      </c>
      <c r="Q78" s="14"/>
      <c r="R78" s="21">
        <f>IF(P$12=0,0,P78/P$12)</f>
        <v>0</v>
      </c>
      <c r="S78" s="14"/>
      <c r="T78" s="20">
        <f>+T18-T20+T76</f>
        <v>-7632</v>
      </c>
      <c r="U78" s="14"/>
      <c r="V78" s="21">
        <f>IF(T$12=0,0,T78/T$12)</f>
        <v>0</v>
      </c>
      <c r="W78" s="16"/>
      <c r="X78" s="20">
        <f>+P78-T78</f>
        <v>-318.20999999999913</v>
      </c>
      <c r="Y78" s="16"/>
      <c r="Z78" s="21">
        <f>IF(T78=0,0,X78/T78)</f>
        <v>4.1694182389936996E-2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128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126</v>
      </c>
      <c r="C82" s="29"/>
      <c r="D82" s="34">
        <f>+D78-D80</f>
        <v>-673.96</v>
      </c>
      <c r="E82" s="14"/>
      <c r="F82" s="30">
        <f>IF(D$12=0,0,D82/D$12)</f>
        <v>0</v>
      </c>
      <c r="G82" s="14"/>
      <c r="H82" s="34">
        <f>+H78-H80</f>
        <v>-848</v>
      </c>
      <c r="I82" s="14"/>
      <c r="J82" s="30">
        <f>IF(H$12=0,0,H82/H$12)</f>
        <v>0</v>
      </c>
      <c r="K82" s="16"/>
      <c r="L82" s="34">
        <f>D82-H82</f>
        <v>174.03999999999996</v>
      </c>
      <c r="M82" s="16"/>
      <c r="N82" s="30">
        <f>IF(H82=0,0,L82/H82)</f>
        <v>-0.20523584905660372</v>
      </c>
      <c r="O82" s="28"/>
      <c r="P82" s="34">
        <f>+P78-P80</f>
        <v>-7950.2099999999991</v>
      </c>
      <c r="Q82" s="14"/>
      <c r="R82" s="30">
        <f>IF(P$12=0,0,P82/P$12)</f>
        <v>0</v>
      </c>
      <c r="S82" s="14"/>
      <c r="T82" s="34">
        <f>+T78-T80</f>
        <v>-7632</v>
      </c>
      <c r="U82" s="14"/>
      <c r="V82" s="30">
        <f>IF(T$12=0,0,T82/T$12)</f>
        <v>0</v>
      </c>
      <c r="W82" s="16"/>
      <c r="X82" s="34">
        <f>P82-T82</f>
        <v>-318.20999999999913</v>
      </c>
      <c r="Y82" s="16"/>
      <c r="Z82" s="30">
        <f>IF(T82=0,0,X82/T82)</f>
        <v>4.1694182389936996E-2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294</v>
      </c>
      <c r="C85" s="29"/>
      <c r="D85" s="31">
        <f>SUM(D82:D84)</f>
        <v>-673.96</v>
      </c>
      <c r="E85" s="14"/>
      <c r="F85" s="35">
        <f>IF(D$12=0,0,D85/D$12)</f>
        <v>0</v>
      </c>
      <c r="G85" s="14"/>
      <c r="H85" s="31">
        <f>SUM(H82:H84)</f>
        <v>-848</v>
      </c>
      <c r="I85" s="14"/>
      <c r="J85" s="35">
        <f>IF(H$12=0,0,H85/H$12)</f>
        <v>0</v>
      </c>
      <c r="K85" s="16"/>
      <c r="L85" s="31">
        <f>+D85-H85</f>
        <v>174.03999999999996</v>
      </c>
      <c r="M85" s="16"/>
      <c r="N85" s="35">
        <f>IF(H85=0,0,L85/H85)</f>
        <v>-0.20523584905660372</v>
      </c>
      <c r="O85" s="28"/>
      <c r="P85" s="31">
        <f>SUM(P82:P84)</f>
        <v>-7950.2099999999991</v>
      </c>
      <c r="Q85" s="14"/>
      <c r="R85" s="35">
        <f>IF(P$12=0,0,P85/P$12)</f>
        <v>0</v>
      </c>
      <c r="S85" s="14"/>
      <c r="T85" s="31">
        <f>SUM(T82:T84)</f>
        <v>-7632</v>
      </c>
      <c r="U85" s="14"/>
      <c r="V85" s="35">
        <f>IF(T$12=0,0,T85/T$12)</f>
        <v>0</v>
      </c>
      <c r="W85" s="16"/>
      <c r="X85" s="31">
        <f>+P85-T85</f>
        <v>-318.20999999999913</v>
      </c>
      <c r="Y85" s="16"/>
      <c r="Z85" s="35">
        <f>IF(T85=0,0,X85/T85)</f>
        <v>4.1694182389936996E-2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6">
        <v>44295.961797766206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3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4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108</v>
      </c>
      <c r="C19" s="29"/>
      <c r="D19" s="20">
        <f>D12-D16</f>
        <v>0</v>
      </c>
      <c r="E19" s="14"/>
      <c r="F19" s="21">
        <f>IF(D$12=0,0,D19/D$12)</f>
        <v>0</v>
      </c>
      <c r="G19" s="14"/>
      <c r="H19" s="20">
        <f>H12-H16</f>
        <v>0</v>
      </c>
      <c r="I19" s="14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8"/>
      <c r="P19" s="20">
        <f>P12-P16</f>
        <v>0</v>
      </c>
      <c r="Q19" s="14"/>
      <c r="R19" s="21">
        <f>IF(P$12=0,0,P19/P$12)</f>
        <v>0</v>
      </c>
      <c r="S19" s="14"/>
      <c r="T19" s="20">
        <f>T12-T16</f>
        <v>0</v>
      </c>
      <c r="U19" s="14"/>
      <c r="V19" s="21">
        <f>IF(T$12=0,0,T19/T$12)</f>
        <v>0</v>
      </c>
      <c r="W19" s="16"/>
      <c r="X19" s="20">
        <f>+P19-T19</f>
        <v>0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295</v>
      </c>
      <c r="C21" s="10"/>
      <c r="D21" s="22">
        <f>SUM(OSRRefD22x_0)</f>
        <v>223.78</v>
      </c>
      <c r="E21" s="22"/>
      <c r="F21" s="32">
        <f t="shared" ref="F21:F31" si="14">IF(D$12=0,0,D21/D$12)</f>
        <v>0</v>
      </c>
      <c r="G21" s="22"/>
      <c r="H21" s="22">
        <f>SUM(OSRRefH22x_0)</f>
        <v>630</v>
      </c>
      <c r="I21" s="22"/>
      <c r="J21" s="32">
        <f t="shared" ref="J21:J31" si="15">IF(H$12=0,0,H21/H$12)</f>
        <v>0</v>
      </c>
      <c r="K21" s="4"/>
      <c r="L21" s="22">
        <f t="shared" ref="L21:L31" si="16">+D21-H21</f>
        <v>-406.22</v>
      </c>
      <c r="M21" s="4"/>
      <c r="N21" s="32">
        <f t="shared" ref="N21:N31" si="17">IF(H21=0,0,L21/H21)</f>
        <v>-0.64479365079365081</v>
      </c>
      <c r="O21" s="10"/>
      <c r="P21" s="22">
        <f>SUM(OSRRefP22x_0)</f>
        <v>5187.3500000000004</v>
      </c>
      <c r="Q21" s="22"/>
      <c r="R21" s="32">
        <f t="shared" ref="R21:R31" si="18">IF(P$12=0,0,P21/P$12)</f>
        <v>0</v>
      </c>
      <c r="S21" s="22"/>
      <c r="T21" s="22">
        <f>SUM(OSRRefT22x_0)</f>
        <v>5670</v>
      </c>
      <c r="U21" s="22"/>
      <c r="V21" s="32">
        <f t="shared" ref="V21:V31" si="19">IF(T$12=0,0,T21/T$12)</f>
        <v>0</v>
      </c>
      <c r="W21" s="4"/>
      <c r="X21" s="22">
        <f t="shared" ref="X21:X31" si="20">+P21-T21</f>
        <v>-482.64999999999964</v>
      </c>
      <c r="Y21" s="4"/>
      <c r="Z21" s="32">
        <f t="shared" ref="Z21:Z31" si="21">IF(T21=0,0,X21/T21)</f>
        <v>-8.5123456790123397E-2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3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3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3"/>
      <c r="P49" s="1">
        <f>SUM(OSRRefP22_5x_0)</f>
        <v>522.27</v>
      </c>
      <c r="Q49" s="1"/>
      <c r="R49" s="5">
        <f t="shared" si="34"/>
        <v>0</v>
      </c>
      <c r="S49" s="1"/>
      <c r="T49" s="1">
        <f>SUM(OSRRefT22_5x_0)</f>
        <v>5670</v>
      </c>
      <c r="U49" s="1"/>
      <c r="V49" s="5">
        <f t="shared" si="35"/>
        <v>0</v>
      </c>
      <c r="W49" s="1"/>
      <c r="X49" s="1">
        <f t="shared" si="36"/>
        <v>-5147.7299999999996</v>
      </c>
      <c r="Y49" s="1"/>
      <c r="Z49" s="5">
        <f t="shared" si="37"/>
        <v>-0.90788888888888886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522.27</v>
      </c>
      <c r="Q50" s="2"/>
      <c r="R50" s="6">
        <f t="shared" si="34"/>
        <v>0</v>
      </c>
      <c r="S50" s="2"/>
      <c r="T50" s="7">
        <v>5670</v>
      </c>
      <c r="U50" s="2"/>
      <c r="V50" s="6">
        <f t="shared" si="35"/>
        <v>0</v>
      </c>
      <c r="W50" s="2"/>
      <c r="X50" s="7">
        <f t="shared" si="36"/>
        <v>-5147.7299999999996</v>
      </c>
      <c r="Y50" s="2"/>
      <c r="Z50" s="6">
        <f t="shared" si="37"/>
        <v>-0.90788888888888886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>
        <v>0</v>
      </c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SUM(OSRRefD22_8x_0)</f>
        <v>165.75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165.75</v>
      </c>
      <c r="M55" s="1"/>
      <c r="N55" s="5">
        <f t="shared" si="33"/>
        <v>0</v>
      </c>
      <c r="O55" s="13"/>
      <c r="P55" s="1">
        <f>SUM(OSRRefP22_8x_0)</f>
        <v>575.85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575.85</v>
      </c>
      <c r="Y55" s="1"/>
      <c r="Z55" s="5">
        <f t="shared" si="37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/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0</v>
      </c>
      <c r="Y57" s="2"/>
      <c r="Z57" s="6">
        <f t="shared" si="37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165.75</v>
      </c>
      <c r="E58" s="2"/>
      <c r="F58" s="6">
        <f t="shared" si="30"/>
        <v>0</v>
      </c>
      <c r="G58" s="2"/>
      <c r="H58" s="7"/>
      <c r="I58" s="2"/>
      <c r="J58" s="6">
        <f t="shared" si="31"/>
        <v>0</v>
      </c>
      <c r="K58" s="2"/>
      <c r="L58" s="7">
        <f t="shared" si="32"/>
        <v>165.75</v>
      </c>
      <c r="M58" s="2"/>
      <c r="N58" s="6">
        <f t="shared" si="33"/>
        <v>0</v>
      </c>
      <c r="O58" s="11"/>
      <c r="P58" s="7">
        <v>575.85</v>
      </c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575.85</v>
      </c>
      <c r="Y58" s="2"/>
      <c r="Z58" s="6">
        <f t="shared" si="37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0"/>
        <v>0</v>
      </c>
      <c r="G59" s="2"/>
      <c r="H59" s="7">
        <v>0</v>
      </c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0</v>
      </c>
      <c r="U59" s="2"/>
      <c r="V59" s="6">
        <f t="shared" si="35"/>
        <v>0</v>
      </c>
      <c r="W59" s="2"/>
      <c r="X59" s="7">
        <f t="shared" si="36"/>
        <v>0</v>
      </c>
      <c r="Y59" s="2"/>
      <c r="Z59" s="6">
        <f t="shared" si="37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3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286.62</v>
      </c>
      <c r="Q61" s="2"/>
      <c r="R61" s="6">
        <f t="shared" si="42"/>
        <v>0</v>
      </c>
      <c r="S61" s="2"/>
      <c r="T61" s="7"/>
      <c r="U61" s="2"/>
      <c r="V61" s="6">
        <f t="shared" si="43"/>
        <v>0</v>
      </c>
      <c r="W61" s="2"/>
      <c r="X61" s="7">
        <f t="shared" si="44"/>
        <v>286.62</v>
      </c>
      <c r="Y61" s="2"/>
      <c r="Z61" s="6">
        <f t="shared" si="45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8"/>
        <v>0</v>
      </c>
      <c r="G62" s="2"/>
      <c r="H62" s="7">
        <v>0</v>
      </c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0</v>
      </c>
      <c r="U62" s="2"/>
      <c r="V62" s="6">
        <f t="shared" si="43"/>
        <v>0</v>
      </c>
      <c r="W62" s="2"/>
      <c r="X62" s="7">
        <f t="shared" si="44"/>
        <v>0</v>
      </c>
      <c r="Y62" s="2"/>
      <c r="Z62" s="6">
        <f t="shared" si="45"/>
        <v>0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3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6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6"/>
      <c r="B68" s="11" t="str">
        <f>CONCATENATE("          ", "6244", " - ", "SAFETY SUPPLY EXPENSE")</f>
        <v xml:space="preserve">          6244 - SAFETY SUPPLY EXPENSE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/>
      <c r="Q71" s="2"/>
      <c r="R71" s="6">
        <f t="shared" si="50"/>
        <v>0</v>
      </c>
      <c r="S71" s="2"/>
      <c r="T71" s="7">
        <v>0</v>
      </c>
      <c r="U71" s="2"/>
      <c r="V71" s="6">
        <f t="shared" si="51"/>
        <v>0</v>
      </c>
      <c r="W71" s="2"/>
      <c r="X71" s="7">
        <f t="shared" si="52"/>
        <v>0</v>
      </c>
      <c r="Y71" s="2"/>
      <c r="Z71" s="6">
        <f t="shared" si="53"/>
        <v>0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3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25">
      <c r="A73" s="26"/>
      <c r="B73" s="11" t="str">
        <f>CONCATENATE("          ", "6303", " - ", "DATA PHONE LINES")</f>
        <v xml:space="preserve">          6303 - DATA PHONE LINES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>
        <v>49.7</v>
      </c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49.7</v>
      </c>
      <c r="Y74" s="2"/>
      <c r="Z74" s="6">
        <f t="shared" si="61"/>
        <v>0</v>
      </c>
    </row>
    <row r="75" spans="1:26" s="25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3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25">
      <c r="A76" s="26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59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277</v>
      </c>
      <c r="C80" s="29"/>
      <c r="D80" s="20">
        <f>+D19-D21+D78</f>
        <v>-223.78</v>
      </c>
      <c r="E80" s="14"/>
      <c r="F80" s="21">
        <f>IF(D$12=0,0,D80/D$12)</f>
        <v>0</v>
      </c>
      <c r="G80" s="14"/>
      <c r="H80" s="20">
        <f>+H19-H21+H78</f>
        <v>-630</v>
      </c>
      <c r="I80" s="14"/>
      <c r="J80" s="21">
        <f>IF(H$12=0,0,H80/H$12)</f>
        <v>0</v>
      </c>
      <c r="K80" s="16"/>
      <c r="L80" s="20">
        <f>+D80-H80</f>
        <v>406.22</v>
      </c>
      <c r="M80" s="16"/>
      <c r="N80" s="21">
        <f>IF(H80=0,0,L80/H80)</f>
        <v>-0.64479365079365081</v>
      </c>
      <c r="O80" s="28"/>
      <c r="P80" s="20">
        <f>+P19-P21+P78</f>
        <v>-5187.3500000000004</v>
      </c>
      <c r="Q80" s="14"/>
      <c r="R80" s="21">
        <f>IF(P$12=0,0,P80/P$12)</f>
        <v>0</v>
      </c>
      <c r="S80" s="14"/>
      <c r="T80" s="20">
        <f>+T19-T21+T78</f>
        <v>-5670</v>
      </c>
      <c r="U80" s="14"/>
      <c r="V80" s="21">
        <f>IF(T$12=0,0,T80/T$12)</f>
        <v>0</v>
      </c>
      <c r="W80" s="16"/>
      <c r="X80" s="20">
        <f>+P80-T80</f>
        <v>482.64999999999964</v>
      </c>
      <c r="Y80" s="16"/>
      <c r="Z80" s="21">
        <f>IF(T80=0,0,X80/T80)</f>
        <v>-8.5123456790123397E-2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126</v>
      </c>
      <c r="C84" s="29"/>
      <c r="D84" s="34">
        <f>+D80-D82</f>
        <v>-223.78</v>
      </c>
      <c r="E84" s="14"/>
      <c r="F84" s="30">
        <f>IF(D$12=0,0,D84/D$12)</f>
        <v>0</v>
      </c>
      <c r="G84" s="14"/>
      <c r="H84" s="34">
        <f>+H80-H82</f>
        <v>-630</v>
      </c>
      <c r="I84" s="14"/>
      <c r="J84" s="30">
        <f>IF(H$12=0,0,H84/H$12)</f>
        <v>0</v>
      </c>
      <c r="K84" s="16"/>
      <c r="L84" s="34">
        <f>D84-H84</f>
        <v>406.22</v>
      </c>
      <c r="M84" s="16"/>
      <c r="N84" s="30">
        <f>IF(H84=0,0,L84/H84)</f>
        <v>-0.64479365079365081</v>
      </c>
      <c r="O84" s="28"/>
      <c r="P84" s="34">
        <f>+P80-P82</f>
        <v>-5187.3500000000004</v>
      </c>
      <c r="Q84" s="14"/>
      <c r="R84" s="30">
        <f>IF(P$12=0,0,P84/P$12)</f>
        <v>0</v>
      </c>
      <c r="S84" s="14"/>
      <c r="T84" s="34">
        <f>+T80-T82</f>
        <v>-5670</v>
      </c>
      <c r="U84" s="14"/>
      <c r="V84" s="30">
        <f>IF(T$12=0,0,T84/T$12)</f>
        <v>0</v>
      </c>
      <c r="W84" s="16"/>
      <c r="X84" s="34">
        <f>P84-T84</f>
        <v>482.64999999999964</v>
      </c>
      <c r="Y84" s="16"/>
      <c r="Z84" s="30">
        <f>IF(T84=0,0,X84/T84)</f>
        <v>-8.5123456790123397E-2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294</v>
      </c>
      <c r="C87" s="29"/>
      <c r="D87" s="31">
        <f>SUM(D84:D86)</f>
        <v>-223.78</v>
      </c>
      <c r="E87" s="14"/>
      <c r="F87" s="35">
        <f>IF(D$12=0,0,D87/D$12)</f>
        <v>0</v>
      </c>
      <c r="G87" s="14"/>
      <c r="H87" s="31">
        <f>SUM(H84:H86)</f>
        <v>-630</v>
      </c>
      <c r="I87" s="14"/>
      <c r="J87" s="35">
        <f>IF(H$12=0,0,H87/H$12)</f>
        <v>0</v>
      </c>
      <c r="K87" s="16"/>
      <c r="L87" s="31">
        <f>+D87-H87</f>
        <v>406.22</v>
      </c>
      <c r="M87" s="16"/>
      <c r="N87" s="35">
        <f>IF(H87=0,0,L87/H87)</f>
        <v>-0.64479365079365081</v>
      </c>
      <c r="O87" s="28"/>
      <c r="P87" s="31">
        <f>SUM(P84:P86)</f>
        <v>-5187.3500000000004</v>
      </c>
      <c r="Q87" s="14"/>
      <c r="R87" s="35">
        <f>IF(P$12=0,0,P87/P$12)</f>
        <v>0</v>
      </c>
      <c r="S87" s="14"/>
      <c r="T87" s="31">
        <f>SUM(T84:T86)</f>
        <v>-5670</v>
      </c>
      <c r="U87" s="14"/>
      <c r="V87" s="35">
        <f>IF(T$12=0,0,T87/T$12)</f>
        <v>0</v>
      </c>
      <c r="W87" s="16"/>
      <c r="X87" s="31">
        <f>+P87-T87</f>
        <v>482.64999999999964</v>
      </c>
      <c r="Y87" s="16"/>
      <c r="Z87" s="35">
        <f>IF(T87=0,0,X87/T87)</f>
        <v>-8.5123456790123397E-2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44295.961797766206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3" t="s">
        <v>56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--974.91</f>
        <v>974.91</v>
      </c>
      <c r="Q14" s="2"/>
      <c r="R14" s="19"/>
      <c r="S14" s="2"/>
      <c r="T14" s="2"/>
      <c r="U14" s="2"/>
      <c r="V14" s="19"/>
      <c r="W14" s="2"/>
      <c r="X14" s="2">
        <f t="shared" si="2"/>
        <v>974.91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257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0</v>
      </c>
      <c r="M17" s="4"/>
      <c r="N17" s="12">
        <f t="shared" ref="N17:N19" si="8">IF(H17=0,0,L17/H17)</f>
        <v>0</v>
      </c>
      <c r="O17" s="10"/>
      <c r="P17" s="4">
        <f>SUM(OSRRefP16x_0)</f>
        <v>-2369.56</v>
      </c>
      <c r="Q17" s="4"/>
      <c r="R17" s="12">
        <f t="shared" ref="R17:R19" si="9">IF(P$12=0,0,P17/P$12)</f>
        <v>-2.4305423064693152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-2369.56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0</v>
      </c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0</v>
      </c>
      <c r="U18" s="2"/>
      <c r="V18" s="19">
        <f t="shared" si="10"/>
        <v>0</v>
      </c>
      <c r="W18" s="2"/>
      <c r="X18" s="2">
        <f t="shared" si="11"/>
        <v>0</v>
      </c>
      <c r="Y18" s="2"/>
      <c r="Z18" s="19">
        <f t="shared" si="12"/>
        <v>0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-2369.56</v>
      </c>
      <c r="Q19" s="2"/>
      <c r="R19" s="19">
        <f t="shared" si="9"/>
        <v>-2.4305423064693152</v>
      </c>
      <c r="S19" s="2"/>
      <c r="T19" s="2"/>
      <c r="U19" s="2"/>
      <c r="V19" s="19">
        <f t="shared" si="10"/>
        <v>0</v>
      </c>
      <c r="W19" s="2"/>
      <c r="X19" s="2">
        <f t="shared" si="11"/>
        <v>-2369.56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108</v>
      </c>
      <c r="C21" s="29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0</v>
      </c>
      <c r="I21" s="14"/>
      <c r="J21" s="21">
        <f>IF(H$12=0,0,H21/H$12)</f>
        <v>0</v>
      </c>
      <c r="K21" s="16"/>
      <c r="L21" s="20">
        <f>+D21-H21</f>
        <v>0</v>
      </c>
      <c r="M21" s="16"/>
      <c r="N21" s="21">
        <f>IF(H21=0,0,L21/H21)</f>
        <v>0</v>
      </c>
      <c r="O21" s="28"/>
      <c r="P21" s="20">
        <f>P12-P17</f>
        <v>3344.47</v>
      </c>
      <c r="Q21" s="14"/>
      <c r="R21" s="21">
        <f>IF(P$12=0,0,P21/P$12)</f>
        <v>3.4305423064693152</v>
      </c>
      <c r="S21" s="14"/>
      <c r="T21" s="20">
        <f>T12-T17</f>
        <v>0</v>
      </c>
      <c r="U21" s="14"/>
      <c r="V21" s="21">
        <f>IF(T$12=0,0,T21/T$12)</f>
        <v>0</v>
      </c>
      <c r="W21" s="16"/>
      <c r="X21" s="20">
        <f>+P21-T21</f>
        <v>3344.47</v>
      </c>
      <c r="Y21" s="16"/>
      <c r="Z21" s="21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295</v>
      </c>
      <c r="C23" s="10"/>
      <c r="D23" s="22">
        <f>SUM(OSRRefD22x_0)</f>
        <v>1954.84</v>
      </c>
      <c r="E23" s="22"/>
      <c r="F23" s="32">
        <f t="shared" ref="F23:F33" si="13">IF(D$12=0,0,D23/D$12)</f>
        <v>0</v>
      </c>
      <c r="G23" s="22"/>
      <c r="H23" s="22">
        <f>SUM(OSRRefH22x_0)</f>
        <v>1972</v>
      </c>
      <c r="I23" s="22"/>
      <c r="J23" s="32">
        <f t="shared" ref="J23:J33" si="14">IF(H$12=0,0,H23/H$12)</f>
        <v>0</v>
      </c>
      <c r="K23" s="4"/>
      <c r="L23" s="22">
        <f t="shared" ref="L23:L33" si="15">+D23-H23</f>
        <v>-17.160000000000082</v>
      </c>
      <c r="M23" s="4"/>
      <c r="N23" s="32">
        <f t="shared" ref="N23:N33" si="16">IF(H23=0,0,L23/H23)</f>
        <v>-8.7018255578093714E-3</v>
      </c>
      <c r="O23" s="10"/>
      <c r="P23" s="22">
        <f>SUM(OSRRefP22x_0)</f>
        <v>18092.09</v>
      </c>
      <c r="Q23" s="22"/>
      <c r="R23" s="32">
        <f t="shared" ref="R23:R33" si="17">IF(P$12=0,0,P23/P$12)</f>
        <v>18.557702762306263</v>
      </c>
      <c r="S23" s="22"/>
      <c r="T23" s="22">
        <f>SUM(OSRRefT22x_0)</f>
        <v>17748</v>
      </c>
      <c r="U23" s="22"/>
      <c r="V23" s="32">
        <f t="shared" ref="V23:V33" si="18">IF(T$12=0,0,T23/T$12)</f>
        <v>0</v>
      </c>
      <c r="W23" s="4"/>
      <c r="X23" s="22">
        <f t="shared" ref="X23:X33" si="19">+P23-T23</f>
        <v>344.09000000000015</v>
      </c>
      <c r="Y23" s="4"/>
      <c r="Z23" s="32">
        <f t="shared" ref="Z23:Z33" si="20">IF(T23=0,0,X23/T23)</f>
        <v>1.9387536623844948E-2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0</v>
      </c>
      <c r="I24" s="1"/>
      <c r="J24" s="5">
        <f t="shared" si="14"/>
        <v>0</v>
      </c>
      <c r="K24" s="1"/>
      <c r="L24" s="1">
        <f t="shared" si="15"/>
        <v>0</v>
      </c>
      <c r="M24" s="1"/>
      <c r="N24" s="5">
        <f t="shared" si="16"/>
        <v>0</v>
      </c>
      <c r="O24" s="13"/>
      <c r="P24" s="1">
        <f>SUM(OSRRefP22_0x_0)</f>
        <v>702.51</v>
      </c>
      <c r="Q24" s="1"/>
      <c r="R24" s="5">
        <f t="shared" si="17"/>
        <v>0.72058959288549718</v>
      </c>
      <c r="S24" s="1"/>
      <c r="T24" s="1">
        <f>SUM(OSRRefT22_0x_0)</f>
        <v>0</v>
      </c>
      <c r="U24" s="1"/>
      <c r="V24" s="5">
        <f t="shared" si="18"/>
        <v>0</v>
      </c>
      <c r="W24" s="1"/>
      <c r="X24" s="1">
        <f t="shared" si="19"/>
        <v>702.51</v>
      </c>
      <c r="Y24" s="1"/>
      <c r="Z24" s="5">
        <f t="shared" si="20"/>
        <v>0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/>
      <c r="Q26" s="2"/>
      <c r="R26" s="6">
        <f t="shared" si="17"/>
        <v>0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0</v>
      </c>
      <c r="Y26" s="2"/>
      <c r="Z26" s="6">
        <f t="shared" si="20"/>
        <v>0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702.51</v>
      </c>
      <c r="Q27" s="2"/>
      <c r="R27" s="6">
        <f t="shared" si="17"/>
        <v>0.72058959288549718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702.51</v>
      </c>
      <c r="Y27" s="2"/>
      <c r="Z27" s="6">
        <f t="shared" si="20"/>
        <v>0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0</v>
      </c>
      <c r="M34" s="1"/>
      <c r="N34" s="5">
        <f t="shared" ref="N34:N44" si="24">IF(H34=0,0,L34/H34)</f>
        <v>0</v>
      </c>
      <c r="O34" s="13"/>
      <c r="P34" s="1">
        <f>SUM(OSRRefP22_1x_0)</f>
        <v>0</v>
      </c>
      <c r="Q34" s="1"/>
      <c r="R34" s="5">
        <f t="shared" ref="R34:R44" si="25">IF(P$12=0,0,P34/P$12)</f>
        <v>0</v>
      </c>
      <c r="S34" s="1"/>
      <c r="T34" s="1">
        <f>SUM(OSRRefT22_1x_0)</f>
        <v>0</v>
      </c>
      <c r="U34" s="1"/>
      <c r="V34" s="5">
        <f t="shared" ref="V34:V44" si="26">IF(T$12=0,0,T34/T$12)</f>
        <v>0</v>
      </c>
      <c r="W34" s="1"/>
      <c r="X34" s="1">
        <f t="shared" ref="X34:X44" si="27">+P34-T34</f>
        <v>0</v>
      </c>
      <c r="Y34" s="1"/>
      <c r="Z34" s="5">
        <f t="shared" ref="Z34:Z44" si="28">IF(T34=0,0,X34/T34)</f>
        <v>0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9" si="29">IF(D$12=0,0,D45/D$12)</f>
        <v>0</v>
      </c>
      <c r="G45" s="1"/>
      <c r="H45" s="1">
        <f>SUM(OSRRefH22_2x_0)</f>
        <v>0</v>
      </c>
      <c r="I45" s="1"/>
      <c r="J45" s="5">
        <f t="shared" ref="J45:J59" si="30">IF(H$12=0,0,H45/H$12)</f>
        <v>0</v>
      </c>
      <c r="K45" s="1"/>
      <c r="L45" s="1">
        <f t="shared" ref="L45:L59" si="31">+D45-H45</f>
        <v>0</v>
      </c>
      <c r="M45" s="1"/>
      <c r="N45" s="5">
        <f t="shared" ref="N45:N59" si="32">IF(H45=0,0,L45/H45)</f>
        <v>0</v>
      </c>
      <c r="O45" s="13"/>
      <c r="P45" s="1">
        <f>SUM(OSRRefP22_2x_0)</f>
        <v>83.83</v>
      </c>
      <c r="Q45" s="1"/>
      <c r="R45" s="5">
        <f t="shared" ref="R45:R59" si="33">IF(P$12=0,0,P45/P$12)</f>
        <v>8.5987424480208435E-2</v>
      </c>
      <c r="S45" s="1"/>
      <c r="T45" s="1">
        <f>SUM(OSRRefT22_2x_0)</f>
        <v>0</v>
      </c>
      <c r="U45" s="1"/>
      <c r="V45" s="5">
        <f t="shared" ref="V45:V59" si="34">IF(T$12=0,0,T45/T$12)</f>
        <v>0</v>
      </c>
      <c r="W45" s="1"/>
      <c r="X45" s="1">
        <f t="shared" ref="X45:X59" si="35">+P45-T45</f>
        <v>83.83</v>
      </c>
      <c r="Y45" s="1"/>
      <c r="Z45" s="5">
        <f t="shared" ref="Z45:Z59" si="36">IF(T45=0,0,X45/T45)</f>
        <v>0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0</v>
      </c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83.83</v>
      </c>
      <c r="Q46" s="2"/>
      <c r="R46" s="6">
        <f t="shared" si="33"/>
        <v>8.5987424480208435E-2</v>
      </c>
      <c r="S46" s="2"/>
      <c r="T46" s="7">
        <v>0</v>
      </c>
      <c r="U46" s="2"/>
      <c r="V46" s="6">
        <f t="shared" si="34"/>
        <v>0</v>
      </c>
      <c r="W46" s="2"/>
      <c r="X46" s="7">
        <f t="shared" si="35"/>
        <v>83.83</v>
      </c>
      <c r="Y46" s="2"/>
      <c r="Z46" s="6">
        <f t="shared" si="36"/>
        <v>0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0</v>
      </c>
      <c r="Q47" s="1"/>
      <c r="R47" s="5">
        <f t="shared" si="33"/>
        <v>0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0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29"/>
        <v>0</v>
      </c>
      <c r="G48" s="2"/>
      <c r="H48" s="7">
        <v>0</v>
      </c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/>
      <c r="Q48" s="2"/>
      <c r="R48" s="6">
        <f t="shared" si="33"/>
        <v>0</v>
      </c>
      <c r="S48" s="2"/>
      <c r="T48" s="7">
        <v>0</v>
      </c>
      <c r="U48" s="2"/>
      <c r="V48" s="6">
        <f t="shared" si="34"/>
        <v>0</v>
      </c>
      <c r="W48" s="2"/>
      <c r="X48" s="7">
        <f t="shared" si="35"/>
        <v>0</v>
      </c>
      <c r="Y48" s="2"/>
      <c r="Z48" s="6">
        <f t="shared" si="36"/>
        <v>0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SUM(OSRRefD22_4x_0)</f>
        <v>1825.26</v>
      </c>
      <c r="E49" s="1"/>
      <c r="F49" s="5">
        <f t="shared" si="29"/>
        <v>0</v>
      </c>
      <c r="G49" s="1"/>
      <c r="H49" s="1">
        <f>SUM(OSRRefH22_4x_0)</f>
        <v>1972</v>
      </c>
      <c r="I49" s="1"/>
      <c r="J49" s="5">
        <f t="shared" si="30"/>
        <v>0</v>
      </c>
      <c r="K49" s="1"/>
      <c r="L49" s="1">
        <f t="shared" si="31"/>
        <v>-146.74</v>
      </c>
      <c r="M49" s="1"/>
      <c r="N49" s="5">
        <f t="shared" si="32"/>
        <v>-7.4411764705882358E-2</v>
      </c>
      <c r="O49" s="13"/>
      <c r="P49" s="1">
        <f>SUM(OSRRefP22_4x_0)</f>
        <v>16574.13</v>
      </c>
      <c r="Q49" s="1"/>
      <c r="R49" s="5">
        <f t="shared" si="33"/>
        <v>17.0006769855679</v>
      </c>
      <c r="S49" s="1"/>
      <c r="T49" s="1">
        <f>SUM(OSRRefT22_4x_0)</f>
        <v>17748</v>
      </c>
      <c r="U49" s="1"/>
      <c r="V49" s="5">
        <f t="shared" si="34"/>
        <v>0</v>
      </c>
      <c r="W49" s="1"/>
      <c r="X49" s="1">
        <f t="shared" si="35"/>
        <v>-1173.869999999999</v>
      </c>
      <c r="Y49" s="1"/>
      <c r="Z49" s="5">
        <f t="shared" si="36"/>
        <v>-6.6140973630831587E-2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1825.26</v>
      </c>
      <c r="E50" s="2"/>
      <c r="F50" s="6">
        <f t="shared" si="29"/>
        <v>0</v>
      </c>
      <c r="G50" s="2"/>
      <c r="H50" s="7">
        <v>1972</v>
      </c>
      <c r="I50" s="2"/>
      <c r="J50" s="6">
        <f t="shared" si="30"/>
        <v>0</v>
      </c>
      <c r="K50" s="2"/>
      <c r="L50" s="7">
        <f t="shared" si="31"/>
        <v>-146.74</v>
      </c>
      <c r="M50" s="2"/>
      <c r="N50" s="6">
        <f t="shared" si="32"/>
        <v>-7.4411764705882358E-2</v>
      </c>
      <c r="O50" s="11"/>
      <c r="P50" s="7">
        <v>16574.13</v>
      </c>
      <c r="Q50" s="2"/>
      <c r="R50" s="6">
        <f t="shared" si="33"/>
        <v>17.0006769855679</v>
      </c>
      <c r="S50" s="2"/>
      <c r="T50" s="7">
        <v>17748</v>
      </c>
      <c r="U50" s="2"/>
      <c r="V50" s="6">
        <f t="shared" si="34"/>
        <v>0</v>
      </c>
      <c r="W50" s="2"/>
      <c r="X50" s="7">
        <f t="shared" si="35"/>
        <v>-1173.869999999999</v>
      </c>
      <c r="Y50" s="2"/>
      <c r="Z50" s="6">
        <f t="shared" si="36"/>
        <v>-6.6140973630831587E-2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0</v>
      </c>
      <c r="Q51" s="1"/>
      <c r="R51" s="5">
        <f t="shared" si="33"/>
        <v>0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0</v>
      </c>
      <c r="Y51" s="1"/>
      <c r="Z51" s="5">
        <f t="shared" si="36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0</v>
      </c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/>
      <c r="Q52" s="2"/>
      <c r="R52" s="6">
        <f t="shared" si="33"/>
        <v>0</v>
      </c>
      <c r="S52" s="2"/>
      <c r="T52" s="7">
        <v>0</v>
      </c>
      <c r="U52" s="2"/>
      <c r="V52" s="6">
        <f t="shared" si="34"/>
        <v>0</v>
      </c>
      <c r="W52" s="2"/>
      <c r="X52" s="7">
        <f t="shared" si="35"/>
        <v>0</v>
      </c>
      <c r="Y52" s="2"/>
      <c r="Z52" s="6">
        <f t="shared" si="36"/>
        <v>0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96.3</v>
      </c>
      <c r="Q53" s="1"/>
      <c r="R53" s="5">
        <f t="shared" si="33"/>
        <v>9.8778348770655749E-2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96.3</v>
      </c>
      <c r="Y53" s="1"/>
      <c r="Z53" s="5">
        <f t="shared" si="36"/>
        <v>0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>
        <v>96.3</v>
      </c>
      <c r="Q54" s="2"/>
      <c r="R54" s="6">
        <f t="shared" si="33"/>
        <v>9.8778348770655749E-2</v>
      </c>
      <c r="S54" s="2"/>
      <c r="T54" s="7"/>
      <c r="U54" s="2"/>
      <c r="V54" s="6">
        <f t="shared" si="34"/>
        <v>0</v>
      </c>
      <c r="W54" s="2"/>
      <c r="X54" s="7">
        <f t="shared" si="35"/>
        <v>96.3</v>
      </c>
      <c r="Y54" s="2"/>
      <c r="Z54" s="6">
        <f t="shared" si="36"/>
        <v>0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7.28</v>
      </c>
      <c r="Q55" s="1"/>
      <c r="R55" s="5">
        <f t="shared" si="33"/>
        <v>7.467355961063073E-3</v>
      </c>
      <c r="S55" s="1"/>
      <c r="T55" s="1">
        <f>SUM(OSRRefT22_7x_0)</f>
        <v>0</v>
      </c>
      <c r="U55" s="1"/>
      <c r="V55" s="5">
        <f t="shared" si="34"/>
        <v>0</v>
      </c>
      <c r="W55" s="1"/>
      <c r="X55" s="1">
        <f t="shared" si="35"/>
        <v>7.28</v>
      </c>
      <c r="Y55" s="1"/>
      <c r="Z55" s="5">
        <f t="shared" si="36"/>
        <v>0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7.28</v>
      </c>
      <c r="Q56" s="2"/>
      <c r="R56" s="6">
        <f t="shared" si="33"/>
        <v>7.467355961063073E-3</v>
      </c>
      <c r="S56" s="2"/>
      <c r="T56" s="7">
        <v>0</v>
      </c>
      <c r="U56" s="2"/>
      <c r="V56" s="6">
        <f t="shared" si="34"/>
        <v>0</v>
      </c>
      <c r="W56" s="2"/>
      <c r="X56" s="7">
        <f t="shared" si="35"/>
        <v>7.28</v>
      </c>
      <c r="Y56" s="2"/>
      <c r="Z56" s="6">
        <f t="shared" si="36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129.58000000000001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129.58000000000001</v>
      </c>
      <c r="M57" s="1"/>
      <c r="N57" s="5">
        <f t="shared" si="32"/>
        <v>0</v>
      </c>
      <c r="O57" s="13"/>
      <c r="P57" s="1">
        <f>SUM(OSRRefP22_8x_0)</f>
        <v>628.04</v>
      </c>
      <c r="Q57" s="1"/>
      <c r="R57" s="5">
        <f t="shared" si="33"/>
        <v>0.64420305464094119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628.04</v>
      </c>
      <c r="Y57" s="1"/>
      <c r="Z57" s="5">
        <f t="shared" si="36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129.58000000000001</v>
      </c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129.58000000000001</v>
      </c>
      <c r="M58" s="2"/>
      <c r="N58" s="6">
        <f t="shared" si="32"/>
        <v>0</v>
      </c>
      <c r="O58" s="11"/>
      <c r="P58" s="7">
        <v>428.04</v>
      </c>
      <c r="Q58" s="2"/>
      <c r="R58" s="6">
        <f t="shared" si="33"/>
        <v>0.43905591285349421</v>
      </c>
      <c r="S58" s="2"/>
      <c r="T58" s="7"/>
      <c r="U58" s="2"/>
      <c r="V58" s="6">
        <f t="shared" si="34"/>
        <v>0</v>
      </c>
      <c r="W58" s="2"/>
      <c r="X58" s="7">
        <f t="shared" si="35"/>
        <v>428.04</v>
      </c>
      <c r="Y58" s="2"/>
      <c r="Z58" s="6">
        <f t="shared" si="36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200</v>
      </c>
      <c r="Q59" s="2"/>
      <c r="R59" s="6">
        <f t="shared" si="33"/>
        <v>0.20514714178744706</v>
      </c>
      <c r="S59" s="2"/>
      <c r="T59" s="7"/>
      <c r="U59" s="2"/>
      <c r="V59" s="6">
        <f t="shared" si="34"/>
        <v>0</v>
      </c>
      <c r="W59" s="2"/>
      <c r="X59" s="7">
        <f t="shared" si="35"/>
        <v>200</v>
      </c>
      <c r="Y59" s="2"/>
      <c r="Z59" s="6">
        <f t="shared" si="36"/>
        <v>0</v>
      </c>
    </row>
    <row r="60" spans="1:26" s="25" customFormat="1" outlineLevel="1" collapsed="1" x14ac:dyDescent="0.25">
      <c r="A60" s="27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SUM(OSRRefD22_9x_0)</f>
        <v>0</v>
      </c>
      <c r="E60" s="1"/>
      <c r="F60" s="5">
        <f t="shared" ref="F60:F69" si="37">IF(D$12=0,0,D60/D$12)</f>
        <v>0</v>
      </c>
      <c r="G60" s="1"/>
      <c r="H60" s="1">
        <f>SUM(OSRRefH22_9x_0)</f>
        <v>0</v>
      </c>
      <c r="I60" s="1"/>
      <c r="J60" s="5">
        <f t="shared" ref="J60:J69" si="38">IF(H$12=0,0,H60/H$12)</f>
        <v>0</v>
      </c>
      <c r="K60" s="1"/>
      <c r="L60" s="1">
        <f t="shared" ref="L60:L69" si="39">+D60-H60</f>
        <v>0</v>
      </c>
      <c r="M60" s="1"/>
      <c r="N60" s="5">
        <f t="shared" ref="N60:N69" si="40">IF(H60=0,0,L60/H60)</f>
        <v>0</v>
      </c>
      <c r="O60" s="13"/>
      <c r="P60" s="1">
        <f>SUM(OSRRefP22_9x_0)</f>
        <v>0</v>
      </c>
      <c r="Q60" s="1"/>
      <c r="R60" s="5">
        <f t="shared" ref="R60:R69" si="41">IF(P$12=0,0,P60/P$12)</f>
        <v>0</v>
      </c>
      <c r="S60" s="1"/>
      <c r="T60" s="1">
        <f>SUM(OSRRefT22_9x_0)</f>
        <v>0</v>
      </c>
      <c r="U60" s="1"/>
      <c r="V60" s="5">
        <f t="shared" ref="V60:V69" si="42">IF(T$12=0,0,T60/T$12)</f>
        <v>0</v>
      </c>
      <c r="W60" s="1"/>
      <c r="X60" s="1">
        <f t="shared" ref="X60:X69" si="43">+P60-T60</f>
        <v>0</v>
      </c>
      <c r="Y60" s="1"/>
      <c r="Z60" s="5">
        <f t="shared" ref="Z60:Z69" si="44">IF(T60=0,0,X60/T60)</f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/>
      <c r="Q61" s="2"/>
      <c r="R61" s="6">
        <f t="shared" si="41"/>
        <v>0</v>
      </c>
      <c r="S61" s="2"/>
      <c r="T61" s="7">
        <v>0</v>
      </c>
      <c r="U61" s="2"/>
      <c r="V61" s="6">
        <f t="shared" si="42"/>
        <v>0</v>
      </c>
      <c r="W61" s="2"/>
      <c r="X61" s="7">
        <f t="shared" si="43"/>
        <v>0</v>
      </c>
      <c r="Y61" s="2"/>
      <c r="Z61" s="6">
        <f t="shared" si="44"/>
        <v>0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SUM(OSRRefD22_10x_0)</f>
        <v>0</v>
      </c>
      <c r="E62" s="1"/>
      <c r="F62" s="5">
        <f t="shared" si="37"/>
        <v>0</v>
      </c>
      <c r="G62" s="1"/>
      <c r="H62" s="1">
        <f>SUM(OSRRefH22_10x_0)</f>
        <v>0</v>
      </c>
      <c r="I62" s="1"/>
      <c r="J62" s="5">
        <f t="shared" si="38"/>
        <v>0</v>
      </c>
      <c r="K62" s="1"/>
      <c r="L62" s="1">
        <f t="shared" si="39"/>
        <v>0</v>
      </c>
      <c r="M62" s="1"/>
      <c r="N62" s="5">
        <f t="shared" si="40"/>
        <v>0</v>
      </c>
      <c r="O62" s="13"/>
      <c r="P62" s="1">
        <f>SUM(OSRRefP22_10x_0)</f>
        <v>0</v>
      </c>
      <c r="Q62" s="1"/>
      <c r="R62" s="5">
        <f t="shared" si="41"/>
        <v>0</v>
      </c>
      <c r="S62" s="1"/>
      <c r="T62" s="1">
        <f>SUM(OSRRefT22_10x_0)</f>
        <v>0</v>
      </c>
      <c r="U62" s="1"/>
      <c r="V62" s="5">
        <f t="shared" si="42"/>
        <v>0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37"/>
        <v>0</v>
      </c>
      <c r="G63" s="2"/>
      <c r="H63" s="7">
        <v>0</v>
      </c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/>
      <c r="Q63" s="2"/>
      <c r="R63" s="6">
        <f t="shared" si="41"/>
        <v>0</v>
      </c>
      <c r="S63" s="2"/>
      <c r="T63" s="7">
        <v>0</v>
      </c>
      <c r="U63" s="2"/>
      <c r="V63" s="6">
        <f t="shared" si="42"/>
        <v>0</v>
      </c>
      <c r="W63" s="2"/>
      <c r="X63" s="7">
        <f t="shared" si="43"/>
        <v>0</v>
      </c>
      <c r="Y63" s="2"/>
      <c r="Z63" s="6">
        <f t="shared" si="44"/>
        <v>0</v>
      </c>
    </row>
    <row r="64" spans="1:26" s="25" customFormat="1" outlineLevel="1" collapsed="1" x14ac:dyDescent="0.25">
      <c r="A64" s="27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SUM(OSRRefD22_11x_0)</f>
        <v>0</v>
      </c>
      <c r="E64" s="1"/>
      <c r="F64" s="5">
        <f t="shared" si="37"/>
        <v>0</v>
      </c>
      <c r="G64" s="1"/>
      <c r="H64" s="1">
        <f>SUM(OSRRefH22_11x_0)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SUM(OSRRefP22_11x_0)</f>
        <v>0</v>
      </c>
      <c r="Q64" s="1"/>
      <c r="R64" s="5">
        <f t="shared" si="41"/>
        <v>0</v>
      </c>
      <c r="S64" s="1"/>
      <c r="T64" s="1">
        <f>SUM(OSRRefT22_11x_0)</f>
        <v>0</v>
      </c>
      <c r="U64" s="1"/>
      <c r="V64" s="5">
        <f t="shared" si="42"/>
        <v>0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37"/>
        <v>0</v>
      </c>
      <c r="G65" s="2"/>
      <c r="H65" s="7">
        <v>0</v>
      </c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/>
      <c r="Q65" s="2"/>
      <c r="R65" s="6">
        <f t="shared" si="41"/>
        <v>0</v>
      </c>
      <c r="S65" s="2"/>
      <c r="T65" s="7">
        <v>0</v>
      </c>
      <c r="U65" s="2"/>
      <c r="V65" s="6">
        <f t="shared" si="42"/>
        <v>0</v>
      </c>
      <c r="W65" s="2"/>
      <c r="X65" s="7">
        <f t="shared" si="43"/>
        <v>0</v>
      </c>
      <c r="Y65" s="2"/>
      <c r="Z65" s="6">
        <f t="shared" si="44"/>
        <v>0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0</v>
      </c>
      <c r="E66" s="1"/>
      <c r="F66" s="5">
        <f t="shared" si="37"/>
        <v>0</v>
      </c>
      <c r="G66" s="1"/>
      <c r="H66" s="1">
        <f>SUM(OSRRefH22_12x_0)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SUM(OSRRefP22_12x_0)</f>
        <v>0</v>
      </c>
      <c r="Q66" s="1"/>
      <c r="R66" s="5">
        <f t="shared" si="41"/>
        <v>0</v>
      </c>
      <c r="S66" s="1"/>
      <c r="T66" s="1">
        <f>SUM(OSRRefT22_12x_0)</f>
        <v>0</v>
      </c>
      <c r="U66" s="1"/>
      <c r="V66" s="5">
        <f t="shared" si="42"/>
        <v>0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6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37"/>
        <v>0</v>
      </c>
      <c r="G69" s="2"/>
      <c r="H69" s="7">
        <v>0</v>
      </c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/>
      <c r="Q69" s="2"/>
      <c r="R69" s="6">
        <f t="shared" si="41"/>
        <v>0</v>
      </c>
      <c r="S69" s="2"/>
      <c r="T69" s="7">
        <v>0</v>
      </c>
      <c r="U69" s="2"/>
      <c r="V69" s="6">
        <f t="shared" si="42"/>
        <v>0</v>
      </c>
      <c r="W69" s="2"/>
      <c r="X69" s="7">
        <f t="shared" si="43"/>
        <v>0</v>
      </c>
      <c r="Y69" s="2"/>
      <c r="Z69" s="6">
        <f t="shared" si="44"/>
        <v>0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0</v>
      </c>
      <c r="E70" s="1"/>
      <c r="F70" s="5">
        <f t="shared" ref="F70:F75" si="45">IF(D$12=0,0,D70/D$12)</f>
        <v>0</v>
      </c>
      <c r="G70" s="1"/>
      <c r="H70" s="1">
        <f>SUM(OSRRefH22_13x_0)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3"/>
      <c r="P70" s="1">
        <f>SUM(OSRRefP22_13x_0)</f>
        <v>0</v>
      </c>
      <c r="Q70" s="1"/>
      <c r="R70" s="5">
        <f t="shared" ref="R70:R75" si="49">IF(P$12=0,0,P70/P$12)</f>
        <v>0</v>
      </c>
      <c r="S70" s="1"/>
      <c r="T70" s="1">
        <f>SUM(OSRRefT22_13x_0)</f>
        <v>0</v>
      </c>
      <c r="U70" s="1"/>
      <c r="V70" s="5">
        <f t="shared" ref="V70:V75" si="50">IF(T$12=0,0,T70/T$12)</f>
        <v>0</v>
      </c>
      <c r="W70" s="1"/>
      <c r="X70" s="1">
        <f t="shared" ref="X70:X75" si="51">+P70-T70</f>
        <v>0</v>
      </c>
      <c r="Y70" s="1"/>
      <c r="Z70" s="5">
        <f t="shared" ref="Z70:Z75" si="52">IF(T70=0,0,X70/T70)</f>
        <v>0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5"/>
        <v>0</v>
      </c>
      <c r="G71" s="2"/>
      <c r="H71" s="7">
        <v>0</v>
      </c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/>
      <c r="Q71" s="2"/>
      <c r="R71" s="6">
        <f t="shared" si="49"/>
        <v>0</v>
      </c>
      <c r="S71" s="2"/>
      <c r="T71" s="7">
        <v>0</v>
      </c>
      <c r="U71" s="2"/>
      <c r="V71" s="6">
        <f t="shared" si="50"/>
        <v>0</v>
      </c>
      <c r="W71" s="2"/>
      <c r="X71" s="7">
        <f t="shared" si="51"/>
        <v>0</v>
      </c>
      <c r="Y71" s="2"/>
      <c r="Z71" s="6">
        <f t="shared" si="52"/>
        <v>0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45"/>
        <v>0</v>
      </c>
      <c r="G72" s="1"/>
      <c r="H72" s="1">
        <f>SUM(OSRRefH22_14x_0)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SUM(OSRRefP22_14x_0)</f>
        <v>0</v>
      </c>
      <c r="Q72" s="1"/>
      <c r="R72" s="5">
        <f t="shared" si="49"/>
        <v>0</v>
      </c>
      <c r="S72" s="1"/>
      <c r="T72" s="1">
        <f>SUM(OSRRefT22_14x_0)</f>
        <v>0</v>
      </c>
      <c r="U72" s="1"/>
      <c r="V72" s="5">
        <f t="shared" si="50"/>
        <v>0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/>
      <c r="Q73" s="2"/>
      <c r="R73" s="6">
        <f t="shared" si="49"/>
        <v>0</v>
      </c>
      <c r="S73" s="2"/>
      <c r="T73" s="7">
        <v>0</v>
      </c>
      <c r="U73" s="2"/>
      <c r="V73" s="6">
        <f t="shared" si="50"/>
        <v>0</v>
      </c>
      <c r="W73" s="2"/>
      <c r="X73" s="7">
        <f t="shared" si="51"/>
        <v>0</v>
      </c>
      <c r="Y73" s="2"/>
      <c r="Z73" s="6">
        <f t="shared" si="52"/>
        <v>0</v>
      </c>
    </row>
    <row r="74" spans="1:26" s="25" customFormat="1" outlineLevel="1" collapsed="1" x14ac:dyDescent="0.25">
      <c r="A74" s="27"/>
      <c r="B74" s="13" t="str">
        <f>CONCATENATE("     ","Travel                                            ")</f>
        <v xml:space="preserve">     Travel                                            </v>
      </c>
      <c r="C74" s="13"/>
      <c r="D74" s="1">
        <f>SUM(OSRRefD22_15x_0)</f>
        <v>0</v>
      </c>
      <c r="E74" s="1"/>
      <c r="F74" s="5">
        <f t="shared" si="45"/>
        <v>0</v>
      </c>
      <c r="G74" s="1"/>
      <c r="H74" s="1">
        <f>SUM(OSRRefH22_15x_0)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3"/>
      <c r="P74" s="1">
        <f>SUM(OSRRefP22_15x_0)</f>
        <v>0</v>
      </c>
      <c r="Q74" s="1"/>
      <c r="R74" s="5">
        <f t="shared" si="49"/>
        <v>0</v>
      </c>
      <c r="S74" s="1"/>
      <c r="T74" s="1">
        <f>SUM(OSRRefT22_15x_0)</f>
        <v>0</v>
      </c>
      <c r="U74" s="1"/>
      <c r="V74" s="5">
        <f t="shared" si="50"/>
        <v>0</v>
      </c>
      <c r="W74" s="1"/>
      <c r="X74" s="1">
        <f t="shared" si="51"/>
        <v>0</v>
      </c>
      <c r="Y74" s="1"/>
      <c r="Z74" s="5">
        <f t="shared" si="52"/>
        <v>0</v>
      </c>
    </row>
    <row r="75" spans="1:26" s="24" customFormat="1" hidden="1" outlineLevel="2" x14ac:dyDescent="0.25">
      <c r="A75" s="26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0</v>
      </c>
      <c r="M75" s="2"/>
      <c r="N75" s="6">
        <f t="shared" si="48"/>
        <v>0</v>
      </c>
      <c r="O75" s="11"/>
      <c r="P75" s="7"/>
      <c r="Q75" s="2"/>
      <c r="R75" s="6">
        <f t="shared" si="49"/>
        <v>0</v>
      </c>
      <c r="S75" s="2"/>
      <c r="T75" s="7">
        <v>0</v>
      </c>
      <c r="U75" s="2"/>
      <c r="V75" s="6">
        <f t="shared" si="50"/>
        <v>0</v>
      </c>
      <c r="W75" s="2"/>
      <c r="X75" s="7">
        <f t="shared" si="51"/>
        <v>0</v>
      </c>
      <c r="Y75" s="2"/>
      <c r="Z75" s="6">
        <f t="shared" si="52"/>
        <v>0</v>
      </c>
    </row>
    <row r="76" spans="1:26" s="59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277</v>
      </c>
      <c r="C79" s="29"/>
      <c r="D79" s="20">
        <f>+D21-D23+D77</f>
        <v>-1954.84</v>
      </c>
      <c r="E79" s="14"/>
      <c r="F79" s="21">
        <f>IF(D$12=0,0,D79/D$12)</f>
        <v>0</v>
      </c>
      <c r="G79" s="14"/>
      <c r="H79" s="20">
        <f>+H21-H23+H77</f>
        <v>-1972</v>
      </c>
      <c r="I79" s="14"/>
      <c r="J79" s="21">
        <f>IF(H$12=0,0,H79/H$12)</f>
        <v>0</v>
      </c>
      <c r="K79" s="16"/>
      <c r="L79" s="20">
        <f>+D79-H79</f>
        <v>17.160000000000082</v>
      </c>
      <c r="M79" s="16"/>
      <c r="N79" s="21">
        <f>IF(H79=0,0,L79/H79)</f>
        <v>-8.7018255578093714E-3</v>
      </c>
      <c r="O79" s="28"/>
      <c r="P79" s="20">
        <f>+P21-P23+P77</f>
        <v>-14747.62</v>
      </c>
      <c r="Q79" s="14"/>
      <c r="R79" s="21">
        <f>IF(P$12=0,0,P79/P$12)</f>
        <v>-15.12716045583695</v>
      </c>
      <c r="S79" s="14"/>
      <c r="T79" s="20">
        <f>+T21-T23+T77</f>
        <v>-17748</v>
      </c>
      <c r="U79" s="14"/>
      <c r="V79" s="21">
        <f>IF(T$12=0,0,T79/T$12)</f>
        <v>0</v>
      </c>
      <c r="W79" s="16"/>
      <c r="X79" s="20">
        <f>+P79-T79</f>
        <v>3000.3799999999992</v>
      </c>
      <c r="Y79" s="16"/>
      <c r="Z79" s="21">
        <f>IF(T79=0,0,X79/T79)</f>
        <v>-0.16905454135677256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7.85</v>
      </c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7.85</v>
      </c>
      <c r="M81" s="4"/>
      <c r="N81" s="12">
        <f>IF(H81=0,0,L81/H81)</f>
        <v>0</v>
      </c>
      <c r="O81" s="10"/>
      <c r="P81" s="4">
        <v>200.92</v>
      </c>
      <c r="Q81" s="4"/>
      <c r="R81" s="12">
        <f>IF(P$12=0,0,P81/P$12)</f>
        <v>0.2060908186396693</v>
      </c>
      <c r="S81" s="4"/>
      <c r="T81" s="4"/>
      <c r="U81" s="4"/>
      <c r="V81" s="12">
        <f>IF(T$12=0,0,T81/T$12)</f>
        <v>0</v>
      </c>
      <c r="W81" s="4"/>
      <c r="X81" s="4">
        <f>+P81-T81</f>
        <v>200.92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126</v>
      </c>
      <c r="C83" s="29"/>
      <c r="D83" s="34">
        <f>+D79-D81</f>
        <v>-1962.6899999999998</v>
      </c>
      <c r="E83" s="14"/>
      <c r="F83" s="30">
        <f>IF(D$12=0,0,D83/D$12)</f>
        <v>0</v>
      </c>
      <c r="G83" s="14"/>
      <c r="H83" s="34">
        <f>+H79-H81</f>
        <v>-1972</v>
      </c>
      <c r="I83" s="14"/>
      <c r="J83" s="30">
        <f>IF(H$12=0,0,H83/H$12)</f>
        <v>0</v>
      </c>
      <c r="K83" s="16"/>
      <c r="L83" s="34">
        <f>D83-H83</f>
        <v>9.3100000000001728</v>
      </c>
      <c r="M83" s="16"/>
      <c r="N83" s="30">
        <f>IF(H83=0,0,L83/H83)</f>
        <v>-4.7210953346856861E-3</v>
      </c>
      <c r="O83" s="28"/>
      <c r="P83" s="34">
        <f>+P79-P81</f>
        <v>-14948.54</v>
      </c>
      <c r="Q83" s="14"/>
      <c r="R83" s="30">
        <f>IF(P$12=0,0,P83/P$12)</f>
        <v>-15.33325127447662</v>
      </c>
      <c r="S83" s="14"/>
      <c r="T83" s="34">
        <f>+T79-T81</f>
        <v>-17748</v>
      </c>
      <c r="U83" s="14"/>
      <c r="V83" s="30">
        <f>IF(T$12=0,0,T83/T$12)</f>
        <v>0</v>
      </c>
      <c r="W83" s="16"/>
      <c r="X83" s="34">
        <f>P83-T83</f>
        <v>2799.4599999999991</v>
      </c>
      <c r="Y83" s="16"/>
      <c r="Z83" s="30">
        <f>IF(T83=0,0,X83/T83)</f>
        <v>-0.1577338291638494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294</v>
      </c>
      <c r="C86" s="29"/>
      <c r="D86" s="31">
        <f>SUM(D83:D85)</f>
        <v>-1962.6899999999998</v>
      </c>
      <c r="E86" s="14"/>
      <c r="F86" s="35">
        <f>IF(D$12=0,0,D86/D$12)</f>
        <v>0</v>
      </c>
      <c r="G86" s="14"/>
      <c r="H86" s="31">
        <f>SUM(H83:H85)</f>
        <v>-1972</v>
      </c>
      <c r="I86" s="14"/>
      <c r="J86" s="35">
        <f>IF(H$12=0,0,H86/H$12)</f>
        <v>0</v>
      </c>
      <c r="K86" s="16"/>
      <c r="L86" s="31">
        <f>+D86-H86</f>
        <v>9.3100000000001728</v>
      </c>
      <c r="M86" s="16"/>
      <c r="N86" s="35">
        <f>IF(H86=0,0,L86/H86)</f>
        <v>-4.7210953346856861E-3</v>
      </c>
      <c r="O86" s="28"/>
      <c r="P86" s="31">
        <f>SUM(P83:P85)</f>
        <v>-14948.54</v>
      </c>
      <c r="Q86" s="14"/>
      <c r="R86" s="35">
        <f>IF(P$12=0,0,P86/P$12)</f>
        <v>-15.33325127447662</v>
      </c>
      <c r="S86" s="14"/>
      <c r="T86" s="31">
        <f>SUM(T83:T85)</f>
        <v>-17748</v>
      </c>
      <c r="U86" s="14"/>
      <c r="V86" s="35">
        <f>IF(T$12=0,0,T86/T$12)</f>
        <v>0</v>
      </c>
      <c r="W86" s="16"/>
      <c r="X86" s="31">
        <f>+P86-T86</f>
        <v>2799.4599999999991</v>
      </c>
      <c r="Y86" s="16"/>
      <c r="Z86" s="35">
        <f>IF(T86=0,0,X86/T86)</f>
        <v>-0.1577338291638494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>
        <v>44295.961797766206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3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4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5482.18</v>
      </c>
      <c r="E12" s="4"/>
      <c r="F12" s="12"/>
      <c r="G12" s="4"/>
      <c r="H12" s="4">
        <f>SUM(OSRRefH13x_0)</f>
        <v>30901</v>
      </c>
      <c r="I12" s="4"/>
      <c r="J12" s="12"/>
      <c r="K12" s="4"/>
      <c r="L12" s="4">
        <f t="shared" ref="L12:L16" si="0">+D12-H12</f>
        <v>-25418.82</v>
      </c>
      <c r="M12" s="4"/>
      <c r="N12" s="12">
        <f t="shared" ref="N12:N16" si="1">IF(H12=0,0,L12/H12)</f>
        <v>-0.82258891298016246</v>
      </c>
      <c r="O12" s="10"/>
      <c r="P12" s="4">
        <f>SUM(OSRRefP13x_0)</f>
        <v>50617.880000000005</v>
      </c>
      <c r="Q12" s="4"/>
      <c r="R12" s="12"/>
      <c r="S12" s="4"/>
      <c r="T12" s="4">
        <f>SUM(OSRRefT13x_0)</f>
        <v>194251</v>
      </c>
      <c r="U12" s="4"/>
      <c r="V12" s="12"/>
      <c r="W12" s="4"/>
      <c r="X12" s="4">
        <f t="shared" ref="X12:X16" si="2">+P12-T12</f>
        <v>-143633.12</v>
      </c>
      <c r="Y12" s="4"/>
      <c r="Z12" s="12">
        <f t="shared" ref="Z12:Z16" si="3">IF(T12=0,0,X12/T12)</f>
        <v>-0.73942023464486661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9611</v>
      </c>
      <c r="I13" s="2"/>
      <c r="J13" s="19"/>
      <c r="K13" s="2"/>
      <c r="L13" s="2">
        <f t="shared" si="0"/>
        <v>-9611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60417</v>
      </c>
      <c r="U13" s="2"/>
      <c r="V13" s="19"/>
      <c r="W13" s="2"/>
      <c r="X13" s="2">
        <f t="shared" si="2"/>
        <v>-60417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--2604.58</f>
        <v>2604.58</v>
      </c>
      <c r="E14" s="2"/>
      <c r="F14" s="19"/>
      <c r="G14" s="2"/>
      <c r="H14" s="2"/>
      <c r="I14" s="2"/>
      <c r="J14" s="19"/>
      <c r="K14" s="2"/>
      <c r="L14" s="2">
        <f t="shared" si="0"/>
        <v>2604.58</v>
      </c>
      <c r="M14" s="2"/>
      <c r="N14" s="19">
        <f t="shared" si="1"/>
        <v>0</v>
      </c>
      <c r="O14" s="11"/>
      <c r="P14" s="2">
        <f>--25569.06</f>
        <v>25569.06</v>
      </c>
      <c r="Q14" s="2"/>
      <c r="R14" s="19"/>
      <c r="S14" s="2"/>
      <c r="T14" s="2"/>
      <c r="U14" s="2"/>
      <c r="V14" s="19"/>
      <c r="W14" s="2"/>
      <c r="X14" s="2">
        <f t="shared" si="2"/>
        <v>25569.06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21290</v>
      </c>
      <c r="I15" s="2"/>
      <c r="J15" s="19"/>
      <c r="K15" s="2"/>
      <c r="L15" s="2">
        <f t="shared" si="0"/>
        <v>-21290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133834</v>
      </c>
      <c r="U15" s="2"/>
      <c r="V15" s="19"/>
      <c r="W15" s="2"/>
      <c r="X15" s="2">
        <f t="shared" si="2"/>
        <v>-133834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--2877.6</f>
        <v>2877.6</v>
      </c>
      <c r="E16" s="2"/>
      <c r="F16" s="19"/>
      <c r="G16" s="2"/>
      <c r="H16" s="2"/>
      <c r="I16" s="2"/>
      <c r="J16" s="19"/>
      <c r="K16" s="2"/>
      <c r="L16" s="2">
        <f t="shared" si="0"/>
        <v>2877.6</v>
      </c>
      <c r="M16" s="2"/>
      <c r="N16" s="19">
        <f t="shared" si="1"/>
        <v>0</v>
      </c>
      <c r="O16" s="11"/>
      <c r="P16" s="2">
        <f>--25048.82</f>
        <v>25048.82</v>
      </c>
      <c r="Q16" s="2"/>
      <c r="R16" s="19"/>
      <c r="S16" s="2"/>
      <c r="T16" s="2"/>
      <c r="U16" s="2"/>
      <c r="V16" s="19"/>
      <c r="W16" s="2"/>
      <c r="X16" s="2">
        <f t="shared" si="2"/>
        <v>25048.82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257</v>
      </c>
      <c r="C18" s="10"/>
      <c r="D18" s="4">
        <f>SUM(OSRRefD16x_0)</f>
        <v>684.79</v>
      </c>
      <c r="E18" s="4"/>
      <c r="F18" s="12">
        <f t="shared" ref="F18:F21" si="4">IF(D$12=0,0,D18/D$12)</f>
        <v>0.12491198756698976</v>
      </c>
      <c r="G18" s="4"/>
      <c r="H18" s="4">
        <f>SUM(OSRRefH16x_0)</f>
        <v>9888</v>
      </c>
      <c r="I18" s="4"/>
      <c r="J18" s="12">
        <f t="shared" ref="J18:J21" si="5">IF(H$12=0,0,H18/H$12)</f>
        <v>0.31998964434807936</v>
      </c>
      <c r="K18" s="4"/>
      <c r="L18" s="4">
        <f t="shared" ref="L18:L21" si="6">+D18-H18</f>
        <v>-9203.2099999999991</v>
      </c>
      <c r="M18" s="4"/>
      <c r="N18" s="12">
        <f t="shared" ref="N18:N21" si="7">IF(H18=0,0,L18/H18)</f>
        <v>-0.93074534789644003</v>
      </c>
      <c r="O18" s="10"/>
      <c r="P18" s="4">
        <f>SUM(OSRRefP16x_0)</f>
        <v>21278.14</v>
      </c>
      <c r="Q18" s="4"/>
      <c r="R18" s="12">
        <f t="shared" ref="R18:R21" si="8">IF(P$12=0,0,P18/P$12)</f>
        <v>0.42036805966587298</v>
      </c>
      <c r="S18" s="4"/>
      <c r="T18" s="4">
        <f>SUM(OSRRefT16x_0)</f>
        <v>61196</v>
      </c>
      <c r="U18" s="4"/>
      <c r="V18" s="12">
        <f t="shared" ref="V18:V21" si="9">IF(T$12=0,0,T18/T$12)</f>
        <v>0.31503570123191127</v>
      </c>
      <c r="W18" s="4"/>
      <c r="X18" s="4">
        <f t="shared" ref="X18:X21" si="10">+P18-T18</f>
        <v>-39917.86</v>
      </c>
      <c r="Y18" s="4"/>
      <c r="Z18" s="12">
        <f t="shared" ref="Z18:Z21" si="11">IF(T18=0,0,X18/T18)</f>
        <v>-0.65229524805542849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9888</v>
      </c>
      <c r="I19" s="2"/>
      <c r="J19" s="19">
        <f t="shared" si="5"/>
        <v>0.31998964434807936</v>
      </c>
      <c r="K19" s="2"/>
      <c r="L19" s="2">
        <f t="shared" si="6"/>
        <v>-9888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61196</v>
      </c>
      <c r="U19" s="2"/>
      <c r="V19" s="19">
        <f t="shared" si="9"/>
        <v>0.31503570123191127</v>
      </c>
      <c r="W19" s="2"/>
      <c r="X19" s="2">
        <f t="shared" si="10"/>
        <v>-61196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1183.79</v>
      </c>
      <c r="E20" s="2"/>
      <c r="F20" s="19">
        <f t="shared" si="4"/>
        <v>0.21593417217238395</v>
      </c>
      <c r="G20" s="2"/>
      <c r="H20" s="2"/>
      <c r="I20" s="2"/>
      <c r="J20" s="19">
        <f t="shared" si="5"/>
        <v>0</v>
      </c>
      <c r="K20" s="2"/>
      <c r="L20" s="2">
        <f t="shared" si="6"/>
        <v>1183.79</v>
      </c>
      <c r="M20" s="2"/>
      <c r="N20" s="19">
        <f t="shared" si="7"/>
        <v>0</v>
      </c>
      <c r="O20" s="11"/>
      <c r="P20" s="2">
        <v>16028.06</v>
      </c>
      <c r="Q20" s="2"/>
      <c r="R20" s="19">
        <f t="shared" si="8"/>
        <v>0.31664818834767472</v>
      </c>
      <c r="S20" s="2"/>
      <c r="T20" s="2"/>
      <c r="U20" s="2"/>
      <c r="V20" s="19">
        <f t="shared" si="9"/>
        <v>0</v>
      </c>
      <c r="W20" s="2"/>
      <c r="X20" s="2">
        <f t="shared" si="10"/>
        <v>16028.06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-499</v>
      </c>
      <c r="E21" s="2"/>
      <c r="F21" s="19">
        <f t="shared" si="4"/>
        <v>-9.1022184605394199E-2</v>
      </c>
      <c r="G21" s="2"/>
      <c r="H21" s="2"/>
      <c r="I21" s="2"/>
      <c r="J21" s="19">
        <f t="shared" si="5"/>
        <v>0</v>
      </c>
      <c r="K21" s="2"/>
      <c r="L21" s="2">
        <f t="shared" si="6"/>
        <v>-499</v>
      </c>
      <c r="M21" s="2"/>
      <c r="N21" s="19">
        <f t="shared" si="7"/>
        <v>0</v>
      </c>
      <c r="O21" s="11"/>
      <c r="P21" s="2">
        <v>5250.08</v>
      </c>
      <c r="Q21" s="2"/>
      <c r="R21" s="19">
        <f t="shared" si="8"/>
        <v>0.10371987131819822</v>
      </c>
      <c r="S21" s="2"/>
      <c r="T21" s="2"/>
      <c r="U21" s="2"/>
      <c r="V21" s="19">
        <f t="shared" si="9"/>
        <v>0</v>
      </c>
      <c r="W21" s="2"/>
      <c r="X21" s="2">
        <f t="shared" si="10"/>
        <v>5250.08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D12-D18</f>
        <v>4797.3900000000003</v>
      </c>
      <c r="E23" s="14"/>
      <c r="F23" s="21">
        <f>IF(D$12=0,0,D23/D$12)</f>
        <v>0.87508801243301026</v>
      </c>
      <c r="G23" s="14"/>
      <c r="H23" s="20">
        <f>H12-H18</f>
        <v>21013</v>
      </c>
      <c r="I23" s="14"/>
      <c r="J23" s="21">
        <f>IF(H$12=0,0,H23/H$12)</f>
        <v>0.68001035565192069</v>
      </c>
      <c r="K23" s="16"/>
      <c r="L23" s="20">
        <f>+D23-H23</f>
        <v>-16215.61</v>
      </c>
      <c r="M23" s="16"/>
      <c r="N23" s="21">
        <f>IF(H23=0,0,L23/H23)</f>
        <v>-0.77169418931137868</v>
      </c>
      <c r="O23" s="28"/>
      <c r="P23" s="20">
        <f>P12-P18</f>
        <v>29339.740000000005</v>
      </c>
      <c r="Q23" s="14"/>
      <c r="R23" s="21">
        <f>IF(P$12=0,0,P23/P$12)</f>
        <v>0.57963194033412702</v>
      </c>
      <c r="S23" s="14"/>
      <c r="T23" s="20">
        <f>T12-T18</f>
        <v>133055</v>
      </c>
      <c r="U23" s="14"/>
      <c r="V23" s="21">
        <f>IF(T$12=0,0,T23/T$12)</f>
        <v>0.68496429876808873</v>
      </c>
      <c r="W23" s="16"/>
      <c r="X23" s="20">
        <f>+P23-T23</f>
        <v>-103715.26</v>
      </c>
      <c r="Y23" s="16"/>
      <c r="Z23" s="21">
        <f>IF(T23=0,0,X23/T23)</f>
        <v>-0.7794916387959866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47181.179999999993</v>
      </c>
      <c r="E25" s="22"/>
      <c r="F25" s="32">
        <f t="shared" ref="F25:F35" si="12">IF(D$12=0,0,D25/D$12)</f>
        <v>8.6062807131469583</v>
      </c>
      <c r="G25" s="22"/>
      <c r="H25" s="22">
        <f>SUM(OSRRefH22x_0)</f>
        <v>59120.508685092311</v>
      </c>
      <c r="I25" s="22"/>
      <c r="J25" s="32">
        <f t="shared" ref="J25:J35" si="13">IF(H$12=0,0,H25/H$12)</f>
        <v>1.9132231541080325</v>
      </c>
      <c r="K25" s="4"/>
      <c r="L25" s="22">
        <f t="shared" ref="L25:L35" si="14">+D25-H25</f>
        <v>-11939.328685092318</v>
      </c>
      <c r="M25" s="4"/>
      <c r="N25" s="32">
        <f t="shared" ref="N25:N35" si="15">IF(H25=0,0,L25/H25)</f>
        <v>-0.20194901821105121</v>
      </c>
      <c r="O25" s="10"/>
      <c r="P25" s="22">
        <f>SUM(OSRRefP22x_0)</f>
        <v>542280.95000000007</v>
      </c>
      <c r="Q25" s="22"/>
      <c r="R25" s="32">
        <f t="shared" ref="R25:R35" si="16">IF(P$12=0,0,P25/P$12)</f>
        <v>10.713229198852265</v>
      </c>
      <c r="S25" s="22"/>
      <c r="T25" s="22">
        <f>SUM(OSRRefT22x_0)</f>
        <v>511153.68822303461</v>
      </c>
      <c r="U25" s="22"/>
      <c r="V25" s="32">
        <f t="shared" ref="V25:V35" si="17">IF(T$12=0,0,T25/T$12)</f>
        <v>2.6314082718906704</v>
      </c>
      <c r="W25" s="4"/>
      <c r="X25" s="22">
        <f t="shared" ref="X25:X35" si="18">+P25-T25</f>
        <v>31127.261776965461</v>
      </c>
      <c r="Y25" s="4"/>
      <c r="Z25" s="32">
        <f t="shared" ref="Z25:Z35" si="19">IF(T25=0,0,X25/T25)</f>
        <v>6.0896091516380736E-2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13097.210000000001</v>
      </c>
      <c r="E26" s="1"/>
      <c r="F26" s="5">
        <f t="shared" si="12"/>
        <v>2.3890514357427155</v>
      </c>
      <c r="G26" s="1"/>
      <c r="H26" s="1">
        <f>SUM(OSRRefH22_0x_0)</f>
        <v>6445.3906850923113</v>
      </c>
      <c r="I26" s="1"/>
      <c r="J26" s="5">
        <f t="shared" si="13"/>
        <v>0.20858194508567074</v>
      </c>
      <c r="K26" s="1"/>
      <c r="L26" s="1">
        <f t="shared" si="14"/>
        <v>6651.8193149076897</v>
      </c>
      <c r="M26" s="1"/>
      <c r="N26" s="5">
        <f t="shared" si="15"/>
        <v>1.0320273261778889</v>
      </c>
      <c r="O26" s="13"/>
      <c r="P26" s="1">
        <f>SUM(OSRRefP22_0x_0)</f>
        <v>120349.29000000001</v>
      </c>
      <c r="Q26" s="1"/>
      <c r="R26" s="5">
        <f t="shared" si="16"/>
        <v>2.3776043168935561</v>
      </c>
      <c r="S26" s="1"/>
      <c r="T26" s="1">
        <f>SUM(OSRRefT22_0x_0)</f>
        <v>54759.131523034601</v>
      </c>
      <c r="U26" s="1"/>
      <c r="V26" s="5">
        <f t="shared" si="17"/>
        <v>0.28189883976419478</v>
      </c>
      <c r="W26" s="1"/>
      <c r="X26" s="1">
        <f t="shared" si="18"/>
        <v>65590.158476965415</v>
      </c>
      <c r="Y26" s="1"/>
      <c r="Z26" s="5">
        <f t="shared" si="19"/>
        <v>1.1977939870973795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1477.09</v>
      </c>
      <c r="E27" s="2"/>
      <c r="F27" s="6">
        <f t="shared" si="12"/>
        <v>0.26943478689134609</v>
      </c>
      <c r="G27" s="2"/>
      <c r="H27" s="7">
        <v>638.61070740000002</v>
      </c>
      <c r="I27" s="2"/>
      <c r="J27" s="6">
        <f t="shared" si="13"/>
        <v>2.066634437073234E-2</v>
      </c>
      <c r="K27" s="2"/>
      <c r="L27" s="7">
        <f t="shared" si="14"/>
        <v>838.47929259999989</v>
      </c>
      <c r="M27" s="2"/>
      <c r="N27" s="6">
        <f t="shared" si="15"/>
        <v>1.312974058975197</v>
      </c>
      <c r="O27" s="11"/>
      <c r="P27" s="7">
        <v>13567.08</v>
      </c>
      <c r="Q27" s="2"/>
      <c r="R27" s="6">
        <f t="shared" si="16"/>
        <v>0.26802939988794472</v>
      </c>
      <c r="S27" s="2"/>
      <c r="T27" s="7">
        <v>6247.6225951500001</v>
      </c>
      <c r="U27" s="2"/>
      <c r="V27" s="6">
        <f t="shared" si="17"/>
        <v>3.2162627709252462E-2</v>
      </c>
      <c r="W27" s="2"/>
      <c r="X27" s="7">
        <f t="shared" si="18"/>
        <v>7319.4574048499999</v>
      </c>
      <c r="Y27" s="2"/>
      <c r="Z27" s="6">
        <f t="shared" si="19"/>
        <v>1.1715588279183284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574.47</v>
      </c>
      <c r="E28" s="2"/>
      <c r="F28" s="6">
        <f t="shared" si="12"/>
        <v>0.10478860599250663</v>
      </c>
      <c r="G28" s="2"/>
      <c r="H28" s="7">
        <v>895.38220200000001</v>
      </c>
      <c r="I28" s="2"/>
      <c r="J28" s="6">
        <f t="shared" si="13"/>
        <v>2.8975832562053008E-2</v>
      </c>
      <c r="K28" s="2"/>
      <c r="L28" s="7">
        <f t="shared" si="14"/>
        <v>-320.91220199999998</v>
      </c>
      <c r="M28" s="2"/>
      <c r="N28" s="6">
        <f t="shared" si="15"/>
        <v>-0.35840806449266455</v>
      </c>
      <c r="O28" s="11"/>
      <c r="P28" s="7">
        <v>5926.39</v>
      </c>
      <c r="Q28" s="2"/>
      <c r="R28" s="6">
        <f t="shared" si="16"/>
        <v>0.11708096032469159</v>
      </c>
      <c r="S28" s="2"/>
      <c r="T28" s="7">
        <v>5511.8784434999998</v>
      </c>
      <c r="U28" s="2"/>
      <c r="V28" s="6">
        <f t="shared" si="17"/>
        <v>2.8375032527503074E-2</v>
      </c>
      <c r="W28" s="2"/>
      <c r="X28" s="7">
        <f t="shared" si="18"/>
        <v>414.51155650000055</v>
      </c>
      <c r="Y28" s="2"/>
      <c r="Z28" s="6">
        <f t="shared" si="19"/>
        <v>7.5203319657533838E-2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6634.06</v>
      </c>
      <c r="E29" s="2"/>
      <c r="F29" s="6">
        <f t="shared" si="12"/>
        <v>1.210113494996516</v>
      </c>
      <c r="G29" s="2"/>
      <c r="H29" s="7">
        <v>3212.6923076923099</v>
      </c>
      <c r="I29" s="2"/>
      <c r="J29" s="6">
        <f t="shared" si="13"/>
        <v>0.10396726020815864</v>
      </c>
      <c r="K29" s="2"/>
      <c r="L29" s="7">
        <f t="shared" si="14"/>
        <v>3421.3676923076905</v>
      </c>
      <c r="M29" s="2"/>
      <c r="N29" s="6">
        <f t="shared" si="15"/>
        <v>1.064953429905422</v>
      </c>
      <c r="O29" s="11"/>
      <c r="P29" s="7">
        <v>60833.57</v>
      </c>
      <c r="Q29" s="2"/>
      <c r="R29" s="6">
        <f t="shared" si="16"/>
        <v>1.2018197917415743</v>
      </c>
      <c r="S29" s="2"/>
      <c r="T29" s="7">
        <v>29039.884615384599</v>
      </c>
      <c r="U29" s="2"/>
      <c r="V29" s="6">
        <f t="shared" si="17"/>
        <v>0.14949670588766389</v>
      </c>
      <c r="W29" s="2"/>
      <c r="X29" s="7">
        <f t="shared" si="18"/>
        <v>31793.685384615401</v>
      </c>
      <c r="Y29" s="2"/>
      <c r="Z29" s="6">
        <f t="shared" si="19"/>
        <v>1.0948282269610641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49.75</v>
      </c>
      <c r="E30" s="2"/>
      <c r="F30" s="6">
        <f t="shared" si="12"/>
        <v>9.0748570824015252E-3</v>
      </c>
      <c r="G30" s="2"/>
      <c r="H30" s="7">
        <v>54.265588000000001</v>
      </c>
      <c r="I30" s="2"/>
      <c r="J30" s="6">
        <f t="shared" si="13"/>
        <v>1.756111064366849E-3</v>
      </c>
      <c r="K30" s="2"/>
      <c r="L30" s="7">
        <f t="shared" si="14"/>
        <v>-4.515588000000001</v>
      </c>
      <c r="M30" s="2"/>
      <c r="N30" s="6">
        <f t="shared" si="15"/>
        <v>-8.3212735113088632E-2</v>
      </c>
      <c r="O30" s="11"/>
      <c r="P30" s="7">
        <v>522.26</v>
      </c>
      <c r="Q30" s="2"/>
      <c r="R30" s="6">
        <f t="shared" si="16"/>
        <v>1.0317698015009714E-2</v>
      </c>
      <c r="S30" s="2"/>
      <c r="T30" s="7">
        <v>334.05323900000002</v>
      </c>
      <c r="U30" s="2"/>
      <c r="V30" s="6">
        <f t="shared" si="17"/>
        <v>1.7196989410607926E-3</v>
      </c>
      <c r="W30" s="2"/>
      <c r="X30" s="7">
        <f t="shared" si="18"/>
        <v>188.20676099999997</v>
      </c>
      <c r="Y30" s="2"/>
      <c r="Z30" s="6">
        <f t="shared" si="19"/>
        <v>0.5634034909028377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1562.6</v>
      </c>
      <c r="E31" s="2"/>
      <c r="F31" s="6">
        <f t="shared" si="12"/>
        <v>0.28503259652182156</v>
      </c>
      <c r="G31" s="2"/>
      <c r="H31" s="7">
        <v>434.17788000000002</v>
      </c>
      <c r="I31" s="2"/>
      <c r="J31" s="6">
        <f t="shared" si="13"/>
        <v>1.4050609365392706E-2</v>
      </c>
      <c r="K31" s="2"/>
      <c r="L31" s="7">
        <f t="shared" si="14"/>
        <v>1128.4221199999999</v>
      </c>
      <c r="M31" s="2"/>
      <c r="N31" s="6">
        <f t="shared" si="15"/>
        <v>2.5989857428941332</v>
      </c>
      <c r="O31" s="11"/>
      <c r="P31" s="7">
        <v>14428.28</v>
      </c>
      <c r="Q31" s="2"/>
      <c r="R31" s="6">
        <f t="shared" si="16"/>
        <v>0.28504315076016618</v>
      </c>
      <c r="S31" s="2"/>
      <c r="T31" s="7">
        <v>4233.2343300000002</v>
      </c>
      <c r="U31" s="2"/>
      <c r="V31" s="6">
        <f t="shared" si="17"/>
        <v>2.1792599935135472E-2</v>
      </c>
      <c r="W31" s="2"/>
      <c r="X31" s="7">
        <f t="shared" si="18"/>
        <v>10195.04567</v>
      </c>
      <c r="Y31" s="2"/>
      <c r="Z31" s="6">
        <f t="shared" si="19"/>
        <v>2.4083348275218204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1440.4</v>
      </c>
      <c r="E33" s="2"/>
      <c r="F33" s="6">
        <f t="shared" si="12"/>
        <v>0.26274219379881725</v>
      </c>
      <c r="G33" s="2"/>
      <c r="H33" s="7">
        <v>417.22899999999998</v>
      </c>
      <c r="I33" s="2"/>
      <c r="J33" s="6">
        <f t="shared" si="13"/>
        <v>1.3502119672502507E-2</v>
      </c>
      <c r="K33" s="2"/>
      <c r="L33" s="7">
        <f t="shared" si="14"/>
        <v>1023.171</v>
      </c>
      <c r="M33" s="2"/>
      <c r="N33" s="6">
        <f t="shared" si="15"/>
        <v>2.4523007748742298</v>
      </c>
      <c r="O33" s="11"/>
      <c r="P33" s="7">
        <v>13098.28</v>
      </c>
      <c r="Q33" s="2"/>
      <c r="R33" s="6">
        <f t="shared" si="16"/>
        <v>0.25876785041175171</v>
      </c>
      <c r="S33" s="2"/>
      <c r="T33" s="7">
        <v>3955.7127500000001</v>
      </c>
      <c r="U33" s="2"/>
      <c r="V33" s="6">
        <f t="shared" si="17"/>
        <v>2.0363924767440065E-2</v>
      </c>
      <c r="W33" s="2"/>
      <c r="X33" s="7">
        <f t="shared" si="18"/>
        <v>9142.5672500000001</v>
      </c>
      <c r="Y33" s="2"/>
      <c r="Z33" s="6">
        <f t="shared" si="19"/>
        <v>2.3112313324570901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872.28</v>
      </c>
      <c r="E34" s="2"/>
      <c r="F34" s="6">
        <f t="shared" si="12"/>
        <v>0.15911188614748145</v>
      </c>
      <c r="G34" s="2"/>
      <c r="H34" s="7">
        <v>793.03300000000002</v>
      </c>
      <c r="I34" s="2"/>
      <c r="J34" s="6">
        <f t="shared" si="13"/>
        <v>2.5663667842464644E-2</v>
      </c>
      <c r="K34" s="2"/>
      <c r="L34" s="7">
        <f t="shared" si="14"/>
        <v>79.246999999999957</v>
      </c>
      <c r="M34" s="2"/>
      <c r="N34" s="6">
        <f t="shared" si="15"/>
        <v>9.9929006737424483E-2</v>
      </c>
      <c r="O34" s="11"/>
      <c r="P34" s="7">
        <v>8201.44</v>
      </c>
      <c r="Q34" s="2"/>
      <c r="R34" s="6">
        <f t="shared" si="16"/>
        <v>0.16202654081917298</v>
      </c>
      <c r="S34" s="2"/>
      <c r="T34" s="7">
        <v>5436.7455499999996</v>
      </c>
      <c r="U34" s="2"/>
      <c r="V34" s="6">
        <f t="shared" si="17"/>
        <v>2.7988249996139015E-2</v>
      </c>
      <c r="W34" s="2"/>
      <c r="X34" s="7">
        <f t="shared" si="18"/>
        <v>2764.6944500000009</v>
      </c>
      <c r="Y34" s="2"/>
      <c r="Z34" s="6">
        <f t="shared" si="19"/>
        <v>0.50852011089612259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486.56</v>
      </c>
      <c r="E35" s="2"/>
      <c r="F35" s="6">
        <f t="shared" si="12"/>
        <v>8.8753014311824849E-2</v>
      </c>
      <c r="G35" s="2"/>
      <c r="H35" s="7"/>
      <c r="I35" s="2"/>
      <c r="J35" s="6">
        <f t="shared" si="13"/>
        <v>0</v>
      </c>
      <c r="K35" s="2"/>
      <c r="L35" s="7">
        <f t="shared" si="14"/>
        <v>486.56</v>
      </c>
      <c r="M35" s="2"/>
      <c r="N35" s="6">
        <f t="shared" si="15"/>
        <v>0</v>
      </c>
      <c r="O35" s="11"/>
      <c r="P35" s="7">
        <v>3771.99</v>
      </c>
      <c r="Q35" s="2"/>
      <c r="R35" s="6">
        <f t="shared" si="16"/>
        <v>7.4518924933244926E-2</v>
      </c>
      <c r="S35" s="2"/>
      <c r="T35" s="7"/>
      <c r="U35" s="2"/>
      <c r="V35" s="6">
        <f t="shared" si="17"/>
        <v>0</v>
      </c>
      <c r="W35" s="2"/>
      <c r="X35" s="7">
        <f t="shared" si="18"/>
        <v>3771.99</v>
      </c>
      <c r="Y35" s="2"/>
      <c r="Z35" s="6">
        <f t="shared" si="19"/>
        <v>0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17382.68</v>
      </c>
      <c r="E36" s="1"/>
      <c r="F36" s="5">
        <f t="shared" ref="F36:F46" si="20">IF(D$12=0,0,D36/D$12)</f>
        <v>3.1707605368667209</v>
      </c>
      <c r="G36" s="1"/>
      <c r="H36" s="1">
        <f>SUM(OSRRefH22_1x_0)</f>
        <v>19661.118000000002</v>
      </c>
      <c r="I36" s="1"/>
      <c r="J36" s="5">
        <f t="shared" ref="J36:J46" si="21">IF(H$12=0,0,H36/H$12)</f>
        <v>0.63626154493382103</v>
      </c>
      <c r="K36" s="1"/>
      <c r="L36" s="1">
        <f t="shared" ref="L36:L46" si="22">+D36-H36</f>
        <v>-2278.4380000000019</v>
      </c>
      <c r="M36" s="1"/>
      <c r="N36" s="5">
        <f t="shared" ref="N36:N46" si="23">IF(H36=0,0,L36/H36)</f>
        <v>-0.11588547507827386</v>
      </c>
      <c r="O36" s="13"/>
      <c r="P36" s="1">
        <f>SUM(OSRRefP22_1x_0)</f>
        <v>155530.29</v>
      </c>
      <c r="Q36" s="1"/>
      <c r="R36" s="5">
        <f t="shared" ref="R36:R46" si="24">IF(P$12=0,0,P36/P$12)</f>
        <v>3.0726354007714267</v>
      </c>
      <c r="S36" s="1"/>
      <c r="T36" s="1">
        <f>SUM(OSRRefT22_1x_0)</f>
        <v>119089.55669999999</v>
      </c>
      <c r="U36" s="1"/>
      <c r="V36" s="5">
        <f t="shared" ref="V36:V46" si="25">IF(T$12=0,0,T36/T$12)</f>
        <v>0.61307049487518717</v>
      </c>
      <c r="W36" s="1"/>
      <c r="X36" s="1">
        <f t="shared" ref="X36:X46" si="26">+P36-T36</f>
        <v>36440.733300000022</v>
      </c>
      <c r="Y36" s="1"/>
      <c r="Z36" s="5">
        <f t="shared" ref="Z36:Z46" si="27">IF(T36=0,0,X36/T36)</f>
        <v>0.3059943651633395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>
        <v>14052.4</v>
      </c>
      <c r="E38" s="2"/>
      <c r="F38" s="6">
        <f t="shared" si="20"/>
        <v>2.5632868676329488</v>
      </c>
      <c r="G38" s="2"/>
      <c r="H38" s="7">
        <v>4543.7219999999998</v>
      </c>
      <c r="I38" s="2"/>
      <c r="J38" s="6">
        <f t="shared" si="21"/>
        <v>0.14704126080062133</v>
      </c>
      <c r="K38" s="2"/>
      <c r="L38" s="7">
        <f t="shared" si="22"/>
        <v>9508.6779999999999</v>
      </c>
      <c r="M38" s="2"/>
      <c r="N38" s="6">
        <f t="shared" si="23"/>
        <v>2.0927068161300362</v>
      </c>
      <c r="O38" s="11"/>
      <c r="P38" s="7">
        <v>127443.21</v>
      </c>
      <c r="Q38" s="2"/>
      <c r="R38" s="6">
        <f t="shared" si="24"/>
        <v>2.5177508421925214</v>
      </c>
      <c r="S38" s="2"/>
      <c r="T38" s="7">
        <v>44301.289499999999</v>
      </c>
      <c r="U38" s="2"/>
      <c r="V38" s="6">
        <f t="shared" si="25"/>
        <v>0.22806209234444094</v>
      </c>
      <c r="W38" s="2"/>
      <c r="X38" s="7">
        <f t="shared" si="26"/>
        <v>83141.920500000007</v>
      </c>
      <c r="Y38" s="2"/>
      <c r="Z38" s="6">
        <f t="shared" si="27"/>
        <v>1.8767381590551673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>
        <v>2789.95</v>
      </c>
      <c r="E40" s="2"/>
      <c r="F40" s="6">
        <f t="shared" si="20"/>
        <v>0.50891251290544992</v>
      </c>
      <c r="G40" s="2"/>
      <c r="H40" s="7">
        <v>2966.4</v>
      </c>
      <c r="I40" s="2"/>
      <c r="J40" s="6">
        <f t="shared" si="21"/>
        <v>9.5996893304423805E-2</v>
      </c>
      <c r="K40" s="2"/>
      <c r="L40" s="7">
        <f t="shared" si="22"/>
        <v>-176.45000000000027</v>
      </c>
      <c r="M40" s="2"/>
      <c r="N40" s="6">
        <f t="shared" si="23"/>
        <v>-5.9482874865156507E-2</v>
      </c>
      <c r="O40" s="11"/>
      <c r="P40" s="7">
        <v>24559.33</v>
      </c>
      <c r="Q40" s="2"/>
      <c r="R40" s="6">
        <f t="shared" si="24"/>
        <v>0.4851908060946053</v>
      </c>
      <c r="S40" s="2"/>
      <c r="T40" s="7">
        <v>26901.54</v>
      </c>
      <c r="U40" s="2"/>
      <c r="V40" s="6">
        <f t="shared" si="25"/>
        <v>0.13848855346948022</v>
      </c>
      <c r="W40" s="2"/>
      <c r="X40" s="7">
        <f t="shared" si="26"/>
        <v>-2342.2099999999991</v>
      </c>
      <c r="Y40" s="2"/>
      <c r="Z40" s="6">
        <f t="shared" si="27"/>
        <v>-8.7066019268785322E-2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>
        <v>172.33</v>
      </c>
      <c r="E41" s="2"/>
      <c r="F41" s="6">
        <f t="shared" si="20"/>
        <v>3.1434575296688541E-2</v>
      </c>
      <c r="G41" s="2"/>
      <c r="H41" s="7">
        <v>6839.6639999999998</v>
      </c>
      <c r="I41" s="2"/>
      <c r="J41" s="6">
        <f t="shared" si="21"/>
        <v>0.22134118636937314</v>
      </c>
      <c r="K41" s="2"/>
      <c r="L41" s="7">
        <f t="shared" si="22"/>
        <v>-6667.3339999999998</v>
      </c>
      <c r="M41" s="2"/>
      <c r="N41" s="6">
        <f t="shared" si="23"/>
        <v>-0.97480431787292476</v>
      </c>
      <c r="O41" s="11"/>
      <c r="P41" s="7">
        <v>2604.04</v>
      </c>
      <c r="Q41" s="2"/>
      <c r="R41" s="6">
        <f t="shared" si="24"/>
        <v>5.1445062495703096E-2</v>
      </c>
      <c r="S41" s="2"/>
      <c r="T41" s="7">
        <v>25376.364000000001</v>
      </c>
      <c r="U41" s="2"/>
      <c r="V41" s="6">
        <f t="shared" si="25"/>
        <v>0.130636979989807</v>
      </c>
      <c r="W41" s="2"/>
      <c r="X41" s="7">
        <f t="shared" si="26"/>
        <v>-22772.324000000001</v>
      </c>
      <c r="Y41" s="2"/>
      <c r="Z41" s="6">
        <f t="shared" si="27"/>
        <v>-0.89738325001958508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>
        <v>368</v>
      </c>
      <c r="E43" s="2"/>
      <c r="F43" s="6">
        <f t="shared" si="20"/>
        <v>6.7126581031633395E-2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368</v>
      </c>
      <c r="M43" s="2"/>
      <c r="N43" s="6">
        <f t="shared" si="23"/>
        <v>0</v>
      </c>
      <c r="O43" s="11"/>
      <c r="P43" s="7">
        <v>923.71</v>
      </c>
      <c r="Q43" s="2"/>
      <c r="R43" s="6">
        <f t="shared" si="24"/>
        <v>1.8248689988596915E-2</v>
      </c>
      <c r="S43" s="2"/>
      <c r="T43" s="7">
        <v>2446.34</v>
      </c>
      <c r="U43" s="2"/>
      <c r="V43" s="6">
        <f t="shared" si="25"/>
        <v>1.2593706081307176E-2</v>
      </c>
      <c r="W43" s="2"/>
      <c r="X43" s="7">
        <f t="shared" si="26"/>
        <v>-1522.63</v>
      </c>
      <c r="Y43" s="2"/>
      <c r="Z43" s="6">
        <f t="shared" si="27"/>
        <v>-0.62241143912947505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5311.3320000000003</v>
      </c>
      <c r="I44" s="2"/>
      <c r="J44" s="6">
        <f t="shared" si="21"/>
        <v>0.17188220445940261</v>
      </c>
      <c r="K44" s="2"/>
      <c r="L44" s="7">
        <f t="shared" si="22"/>
        <v>-5311.3320000000003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20064.0232</v>
      </c>
      <c r="U44" s="2"/>
      <c r="V44" s="6">
        <f t="shared" si="25"/>
        <v>0.10328916299015191</v>
      </c>
      <c r="W44" s="2"/>
      <c r="X44" s="7">
        <f t="shared" si="26"/>
        <v>-20064.0232</v>
      </c>
      <c r="Y44" s="2"/>
      <c r="Z44" s="6">
        <f t="shared" si="27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155.19</v>
      </c>
      <c r="E47" s="1"/>
      <c r="F47" s="5">
        <f t="shared" ref="F47:F55" si="28">IF(D$12=0,0,D47/D$12)</f>
        <v>2.8308081821465183E-2</v>
      </c>
      <c r="G47" s="1"/>
      <c r="H47" s="1">
        <f>SUM(OSRRefH22_2x_0)</f>
        <v>300</v>
      </c>
      <c r="I47" s="1"/>
      <c r="J47" s="5">
        <f t="shared" ref="J47:J55" si="29">IF(H$12=0,0,H47/H$12)</f>
        <v>9.708423675609203E-3</v>
      </c>
      <c r="K47" s="1"/>
      <c r="L47" s="1">
        <f t="shared" ref="L47:L55" si="30">+D47-H47</f>
        <v>-144.81</v>
      </c>
      <c r="M47" s="1"/>
      <c r="N47" s="5">
        <f t="shared" ref="N47:N55" si="31">IF(H47=0,0,L47/H47)</f>
        <v>-0.48270000000000002</v>
      </c>
      <c r="O47" s="13"/>
      <c r="P47" s="1">
        <f>SUM(OSRRefP22_2x_0)</f>
        <v>289.19</v>
      </c>
      <c r="Q47" s="1"/>
      <c r="R47" s="5">
        <f t="shared" ref="R47:R55" si="32">IF(P$12=0,0,P47/P$12)</f>
        <v>5.7131985772616309E-3</v>
      </c>
      <c r="S47" s="1"/>
      <c r="T47" s="1">
        <f>SUM(OSRRefT22_2x_0)</f>
        <v>5559</v>
      </c>
      <c r="U47" s="1"/>
      <c r="V47" s="5">
        <f t="shared" ref="V47:V55" si="33">IF(T$12=0,0,T47/T$12)</f>
        <v>2.8617613294140056E-2</v>
      </c>
      <c r="W47" s="1"/>
      <c r="X47" s="1">
        <f t="shared" ref="X47:X55" si="34">+P47-T47</f>
        <v>-5269.81</v>
      </c>
      <c r="Y47" s="1"/>
      <c r="Z47" s="5">
        <f t="shared" ref="Z47:Z55" si="35">IF(T47=0,0,X47/T47)</f>
        <v>-0.9479780536067639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>
        <v>155.19</v>
      </c>
      <c r="E48" s="2"/>
      <c r="F48" s="6">
        <f t="shared" si="28"/>
        <v>2.8308081821465183E-2</v>
      </c>
      <c r="G48" s="2"/>
      <c r="H48" s="7">
        <v>300</v>
      </c>
      <c r="I48" s="2"/>
      <c r="J48" s="6">
        <f t="shared" si="29"/>
        <v>9.708423675609203E-3</v>
      </c>
      <c r="K48" s="2"/>
      <c r="L48" s="7">
        <f t="shared" si="30"/>
        <v>-144.81</v>
      </c>
      <c r="M48" s="2"/>
      <c r="N48" s="6">
        <f t="shared" si="31"/>
        <v>-0.48270000000000002</v>
      </c>
      <c r="O48" s="11"/>
      <c r="P48" s="7">
        <v>289.19</v>
      </c>
      <c r="Q48" s="2"/>
      <c r="R48" s="6">
        <f t="shared" si="32"/>
        <v>5.7131985772616309E-3</v>
      </c>
      <c r="S48" s="2"/>
      <c r="T48" s="7">
        <v>5559</v>
      </c>
      <c r="U48" s="2"/>
      <c r="V48" s="6">
        <f t="shared" si="33"/>
        <v>2.8617613294140056E-2</v>
      </c>
      <c r="W48" s="2"/>
      <c r="X48" s="7">
        <f t="shared" si="34"/>
        <v>-5269.81</v>
      </c>
      <c r="Y48" s="2"/>
      <c r="Z48" s="6">
        <f t="shared" si="35"/>
        <v>-0.9479780536067639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-0.39</v>
      </c>
      <c r="E49" s="1"/>
      <c r="F49" s="5">
        <f t="shared" si="28"/>
        <v>-7.1139583158524533E-5</v>
      </c>
      <c r="G49" s="1"/>
      <c r="H49" s="1">
        <f>SUM(OSRRefH22_3x_0)</f>
        <v>5</v>
      </c>
      <c r="I49" s="1"/>
      <c r="J49" s="5">
        <f t="shared" si="29"/>
        <v>1.6180706126015339E-4</v>
      </c>
      <c r="K49" s="1"/>
      <c r="L49" s="1">
        <f t="shared" si="30"/>
        <v>-5.39</v>
      </c>
      <c r="M49" s="1"/>
      <c r="N49" s="5">
        <f t="shared" si="31"/>
        <v>-1.0779999999999998</v>
      </c>
      <c r="O49" s="13"/>
      <c r="P49" s="1">
        <f>SUM(OSRRefP22_3x_0)</f>
        <v>8.4</v>
      </c>
      <c r="Q49" s="1"/>
      <c r="R49" s="5">
        <f t="shared" si="32"/>
        <v>1.6594926535840694E-4</v>
      </c>
      <c r="S49" s="1"/>
      <c r="T49" s="1">
        <f>SUM(OSRRefT22_3x_0)</f>
        <v>75</v>
      </c>
      <c r="U49" s="1"/>
      <c r="V49" s="5">
        <f t="shared" si="33"/>
        <v>3.8609839846384317E-4</v>
      </c>
      <c r="W49" s="1"/>
      <c r="X49" s="1">
        <f t="shared" si="34"/>
        <v>-66.599999999999994</v>
      </c>
      <c r="Y49" s="1"/>
      <c r="Z49" s="5">
        <f t="shared" si="35"/>
        <v>-0.8879999999999999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>
        <v>-0.39</v>
      </c>
      <c r="E50" s="2"/>
      <c r="F50" s="6">
        <f t="shared" si="28"/>
        <v>-7.1139583158524533E-5</v>
      </c>
      <c r="G50" s="2"/>
      <c r="H50" s="7">
        <v>5</v>
      </c>
      <c r="I50" s="2"/>
      <c r="J50" s="6">
        <f t="shared" si="29"/>
        <v>1.6180706126015339E-4</v>
      </c>
      <c r="K50" s="2"/>
      <c r="L50" s="7">
        <f t="shared" si="30"/>
        <v>-5.39</v>
      </c>
      <c r="M50" s="2"/>
      <c r="N50" s="6">
        <f t="shared" si="31"/>
        <v>-1.0779999999999998</v>
      </c>
      <c r="O50" s="11"/>
      <c r="P50" s="7">
        <v>8.4</v>
      </c>
      <c r="Q50" s="2"/>
      <c r="R50" s="6">
        <f t="shared" si="32"/>
        <v>1.6594926535840694E-4</v>
      </c>
      <c r="S50" s="2"/>
      <c r="T50" s="7">
        <v>75</v>
      </c>
      <c r="U50" s="2"/>
      <c r="V50" s="6">
        <f t="shared" si="33"/>
        <v>3.8609839846384317E-4</v>
      </c>
      <c r="W50" s="2"/>
      <c r="X50" s="7">
        <f t="shared" si="34"/>
        <v>-66.599999999999994</v>
      </c>
      <c r="Y50" s="2"/>
      <c r="Z50" s="6">
        <f t="shared" si="35"/>
        <v>-0.8879999999999999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156.55000000000001</v>
      </c>
      <c r="E51" s="1"/>
      <c r="F51" s="5">
        <f t="shared" si="28"/>
        <v>2.8556158316582089E-2</v>
      </c>
      <c r="G51" s="1"/>
      <c r="H51" s="1">
        <f>SUM(OSRRefH22_4x_0)</f>
        <v>1200</v>
      </c>
      <c r="I51" s="1"/>
      <c r="J51" s="5">
        <f t="shared" si="29"/>
        <v>3.8833694702436812E-2</v>
      </c>
      <c r="K51" s="1"/>
      <c r="L51" s="1">
        <f t="shared" si="30"/>
        <v>-1043.45</v>
      </c>
      <c r="M51" s="1"/>
      <c r="N51" s="5">
        <f t="shared" si="31"/>
        <v>-0.86954166666666666</v>
      </c>
      <c r="O51" s="13"/>
      <c r="P51" s="1">
        <f>SUM(OSRRefP22_4x_0)</f>
        <v>1477.45</v>
      </c>
      <c r="Q51" s="1"/>
      <c r="R51" s="5">
        <f t="shared" si="32"/>
        <v>2.9188302631402183E-2</v>
      </c>
      <c r="S51" s="1"/>
      <c r="T51" s="1">
        <f>SUM(OSRRefT22_4x_0)</f>
        <v>25363</v>
      </c>
      <c r="U51" s="1"/>
      <c r="V51" s="5">
        <f t="shared" si="33"/>
        <v>0.13056818240317938</v>
      </c>
      <c r="W51" s="1"/>
      <c r="X51" s="1">
        <f t="shared" si="34"/>
        <v>-23885.55</v>
      </c>
      <c r="Y51" s="1"/>
      <c r="Z51" s="5">
        <f t="shared" si="35"/>
        <v>-0.94174782162993331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>
        <v>156.55000000000001</v>
      </c>
      <c r="E52" s="2"/>
      <c r="F52" s="6">
        <f t="shared" si="28"/>
        <v>2.8556158316582089E-2</v>
      </c>
      <c r="G52" s="2"/>
      <c r="H52" s="7">
        <v>1200</v>
      </c>
      <c r="I52" s="2"/>
      <c r="J52" s="6">
        <f t="shared" si="29"/>
        <v>3.8833694702436812E-2</v>
      </c>
      <c r="K52" s="2"/>
      <c r="L52" s="7">
        <f t="shared" si="30"/>
        <v>-1043.45</v>
      </c>
      <c r="M52" s="2"/>
      <c r="N52" s="6">
        <f t="shared" si="31"/>
        <v>-0.86954166666666666</v>
      </c>
      <c r="O52" s="11"/>
      <c r="P52" s="7">
        <v>1477.45</v>
      </c>
      <c r="Q52" s="2"/>
      <c r="R52" s="6">
        <f t="shared" si="32"/>
        <v>2.9188302631402183E-2</v>
      </c>
      <c r="S52" s="2"/>
      <c r="T52" s="7">
        <v>25363</v>
      </c>
      <c r="U52" s="2"/>
      <c r="V52" s="6">
        <f t="shared" si="33"/>
        <v>0.13056818240317938</v>
      </c>
      <c r="W52" s="2"/>
      <c r="X52" s="7">
        <f t="shared" si="34"/>
        <v>-23885.55</v>
      </c>
      <c r="Y52" s="2"/>
      <c r="Z52" s="6">
        <f t="shared" si="35"/>
        <v>-0.94174782162993331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13902.32</v>
      </c>
      <c r="E53" s="1"/>
      <c r="F53" s="5">
        <f t="shared" si="28"/>
        <v>2.5359108967600479</v>
      </c>
      <c r="G53" s="1"/>
      <c r="H53" s="1">
        <f>SUM(OSRRefH22_5x_0)</f>
        <v>13630</v>
      </c>
      <c r="I53" s="1"/>
      <c r="J53" s="5">
        <f t="shared" si="29"/>
        <v>0.44108604899517817</v>
      </c>
      <c r="K53" s="1"/>
      <c r="L53" s="1">
        <f t="shared" si="30"/>
        <v>272.31999999999971</v>
      </c>
      <c r="M53" s="1"/>
      <c r="N53" s="5">
        <f t="shared" si="31"/>
        <v>1.997945707997063E-2</v>
      </c>
      <c r="O53" s="13"/>
      <c r="P53" s="1">
        <f>SUM(OSRRefP22_5x_0)</f>
        <v>125086.16</v>
      </c>
      <c r="Q53" s="1"/>
      <c r="R53" s="5">
        <f t="shared" si="32"/>
        <v>2.4711852807743031</v>
      </c>
      <c r="S53" s="1"/>
      <c r="T53" s="1">
        <f>SUM(OSRRefT22_5x_0)</f>
        <v>122898</v>
      </c>
      <c r="U53" s="1"/>
      <c r="V53" s="5">
        <f t="shared" si="33"/>
        <v>0.63267627965879203</v>
      </c>
      <c r="W53" s="1"/>
      <c r="X53" s="1">
        <f t="shared" si="34"/>
        <v>2188.1600000000035</v>
      </c>
      <c r="Y53" s="1"/>
      <c r="Z53" s="5">
        <f t="shared" si="35"/>
        <v>1.7804683558723524E-2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1.9330375872371939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95375.34</v>
      </c>
      <c r="Q54" s="2"/>
      <c r="R54" s="6">
        <f t="shared" si="32"/>
        <v>1.8842223340843194</v>
      </c>
      <c r="S54" s="2"/>
      <c r="T54" s="7"/>
      <c r="U54" s="2"/>
      <c r="V54" s="6">
        <f t="shared" si="33"/>
        <v>0</v>
      </c>
      <c r="W54" s="2"/>
      <c r="X54" s="7">
        <f t="shared" si="34"/>
        <v>95375.34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8"/>
        <v>0.60287330952285401</v>
      </c>
      <c r="G55" s="2"/>
      <c r="H55" s="7">
        <v>13630</v>
      </c>
      <c r="I55" s="2"/>
      <c r="J55" s="6">
        <f t="shared" si="29"/>
        <v>0.44108604899517817</v>
      </c>
      <c r="K55" s="2"/>
      <c r="L55" s="7">
        <f t="shared" si="30"/>
        <v>-10324.94</v>
      </c>
      <c r="M55" s="2"/>
      <c r="N55" s="6">
        <f t="shared" si="31"/>
        <v>-0.75751577402787973</v>
      </c>
      <c r="O55" s="11"/>
      <c r="P55" s="7">
        <v>29710.82</v>
      </c>
      <c r="Q55" s="2"/>
      <c r="R55" s="6">
        <f t="shared" si="32"/>
        <v>0.58696294668998383</v>
      </c>
      <c r="S55" s="2"/>
      <c r="T55" s="7">
        <v>122898</v>
      </c>
      <c r="U55" s="2"/>
      <c r="V55" s="6">
        <f t="shared" si="33"/>
        <v>0.63267627965879203</v>
      </c>
      <c r="W55" s="2"/>
      <c r="X55" s="7">
        <f t="shared" si="34"/>
        <v>-93187.18</v>
      </c>
      <c r="Y55" s="2"/>
      <c r="Z55" s="6">
        <f t="shared" si="35"/>
        <v>-0.7582481407345929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0</v>
      </c>
      <c r="I56" s="1"/>
      <c r="J56" s="5">
        <f t="shared" ref="J56:J68" si="37">IF(H$12=0,0,H56/H$12)</f>
        <v>0</v>
      </c>
      <c r="K56" s="1"/>
      <c r="L56" s="1">
        <f t="shared" ref="L56:L68" si="38">+D56-H56</f>
        <v>0</v>
      </c>
      <c r="M56" s="1"/>
      <c r="N56" s="5">
        <f t="shared" ref="N56:N68" si="39">IF(H56=0,0,L56/H56)</f>
        <v>0</v>
      </c>
      <c r="O56" s="13"/>
      <c r="P56" s="1">
        <f>SUM(OSRRefP22_6x_0)</f>
        <v>10</v>
      </c>
      <c r="Q56" s="1"/>
      <c r="R56" s="5">
        <f t="shared" ref="R56:R68" si="40">IF(P$12=0,0,P56/P$12)</f>
        <v>1.9755864923619873E-4</v>
      </c>
      <c r="S56" s="1"/>
      <c r="T56" s="1">
        <f>SUM(OSRRefT22_6x_0)</f>
        <v>100</v>
      </c>
      <c r="U56" s="1"/>
      <c r="V56" s="5">
        <f t="shared" ref="V56:V68" si="41">IF(T$12=0,0,T56/T$12)</f>
        <v>5.1479786461845756E-4</v>
      </c>
      <c r="W56" s="1"/>
      <c r="X56" s="1">
        <f t="shared" ref="X56:X68" si="42">+P56-T56</f>
        <v>-90</v>
      </c>
      <c r="Y56" s="1"/>
      <c r="Z56" s="5">
        <f t="shared" ref="Z56:Z68" si="43">IF(T56=0,0,X56/T56)</f>
        <v>-0.9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10</v>
      </c>
      <c r="Q57" s="2"/>
      <c r="R57" s="6">
        <f t="shared" si="40"/>
        <v>1.9755864923619873E-4</v>
      </c>
      <c r="S57" s="2"/>
      <c r="T57" s="7">
        <v>100</v>
      </c>
      <c r="U57" s="2"/>
      <c r="V57" s="6">
        <f t="shared" si="41"/>
        <v>5.1479786461845756E-4</v>
      </c>
      <c r="W57" s="2"/>
      <c r="X57" s="7">
        <f t="shared" si="42"/>
        <v>-90</v>
      </c>
      <c r="Y57" s="2"/>
      <c r="Z57" s="6">
        <f t="shared" si="43"/>
        <v>-0.9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72.540000000000006</v>
      </c>
      <c r="E58" s="1"/>
      <c r="F58" s="5">
        <f t="shared" si="36"/>
        <v>1.3231962467485562E-2</v>
      </c>
      <c r="G58" s="1"/>
      <c r="H58" s="1">
        <f>SUM(OSRRefH22_7x_0)</f>
        <v>120</v>
      </c>
      <c r="I58" s="1"/>
      <c r="J58" s="5">
        <f t="shared" si="37"/>
        <v>3.8833694702436815E-3</v>
      </c>
      <c r="K58" s="1"/>
      <c r="L58" s="1">
        <f t="shared" si="38"/>
        <v>-47.459999999999994</v>
      </c>
      <c r="M58" s="1"/>
      <c r="N58" s="5">
        <f t="shared" si="39"/>
        <v>-0.39549999999999996</v>
      </c>
      <c r="O58" s="13"/>
      <c r="P58" s="1">
        <f>SUM(OSRRefP22_7x_0)</f>
        <v>1328.16</v>
      </c>
      <c r="Q58" s="1"/>
      <c r="R58" s="5">
        <f t="shared" si="40"/>
        <v>2.6238949556954973E-2</v>
      </c>
      <c r="S58" s="1"/>
      <c r="T58" s="1">
        <f>SUM(OSRRefT22_7x_0)</f>
        <v>1058</v>
      </c>
      <c r="U58" s="1"/>
      <c r="V58" s="5">
        <f t="shared" si="41"/>
        <v>5.4465614076632807E-3</v>
      </c>
      <c r="W58" s="1"/>
      <c r="X58" s="1">
        <f t="shared" si="42"/>
        <v>270.16000000000008</v>
      </c>
      <c r="Y58" s="1"/>
      <c r="Z58" s="5">
        <f t="shared" si="43"/>
        <v>0.25534971644612486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72.540000000000006</v>
      </c>
      <c r="E59" s="2"/>
      <c r="F59" s="6">
        <f t="shared" si="36"/>
        <v>1.3231962467485562E-2</v>
      </c>
      <c r="G59" s="2"/>
      <c r="H59" s="7">
        <v>120</v>
      </c>
      <c r="I59" s="2"/>
      <c r="J59" s="6">
        <f t="shared" si="37"/>
        <v>3.8833694702436815E-3</v>
      </c>
      <c r="K59" s="2"/>
      <c r="L59" s="7">
        <f t="shared" si="38"/>
        <v>-47.459999999999994</v>
      </c>
      <c r="M59" s="2"/>
      <c r="N59" s="6">
        <f t="shared" si="39"/>
        <v>-0.39549999999999996</v>
      </c>
      <c r="O59" s="11"/>
      <c r="P59" s="7">
        <v>1328.16</v>
      </c>
      <c r="Q59" s="2"/>
      <c r="R59" s="6">
        <f t="shared" si="40"/>
        <v>2.6238949556954973E-2</v>
      </c>
      <c r="S59" s="2"/>
      <c r="T59" s="7">
        <v>1058</v>
      </c>
      <c r="U59" s="2"/>
      <c r="V59" s="6">
        <f t="shared" si="41"/>
        <v>5.4465614076632807E-3</v>
      </c>
      <c r="W59" s="2"/>
      <c r="X59" s="7">
        <f t="shared" si="42"/>
        <v>270.16000000000008</v>
      </c>
      <c r="Y59" s="2"/>
      <c r="Z59" s="6">
        <f t="shared" si="43"/>
        <v>0.25534971644612486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2498.69</v>
      </c>
      <c r="Q60" s="1"/>
      <c r="R60" s="5">
        <f t="shared" si="40"/>
        <v>4.936378212599974E-2</v>
      </c>
      <c r="S60" s="1"/>
      <c r="T60" s="1">
        <f>SUM(OSRRefT22_8x_0)</f>
        <v>1810</v>
      </c>
      <c r="U60" s="1"/>
      <c r="V60" s="5">
        <f t="shared" si="41"/>
        <v>9.3178413495940814E-3</v>
      </c>
      <c r="W60" s="1"/>
      <c r="X60" s="1">
        <f t="shared" si="42"/>
        <v>688.69</v>
      </c>
      <c r="Y60" s="1"/>
      <c r="Z60" s="5">
        <f t="shared" si="43"/>
        <v>0.38049171270718235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6"/>
        <v>0</v>
      </c>
      <c r="G61" s="2"/>
      <c r="H61" s="7">
        <v>0</v>
      </c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2498.69</v>
      </c>
      <c r="Q61" s="2"/>
      <c r="R61" s="6">
        <f t="shared" si="40"/>
        <v>4.936378212599974E-2</v>
      </c>
      <c r="S61" s="2"/>
      <c r="T61" s="7">
        <v>1810</v>
      </c>
      <c r="U61" s="2"/>
      <c r="V61" s="6">
        <f t="shared" si="41"/>
        <v>9.3178413495940814E-3</v>
      </c>
      <c r="W61" s="2"/>
      <c r="X61" s="7">
        <f t="shared" si="42"/>
        <v>688.69</v>
      </c>
      <c r="Y61" s="2"/>
      <c r="Z61" s="6">
        <f t="shared" si="43"/>
        <v>0.38049171270718235</v>
      </c>
    </row>
    <row r="62" spans="1:26" s="25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0.11697536381512463</v>
      </c>
      <c r="G62" s="1"/>
      <c r="H62" s="1">
        <f>SUM(OSRRefH22_9x_0)</f>
        <v>705</v>
      </c>
      <c r="I62" s="1"/>
      <c r="J62" s="5">
        <f t="shared" si="37"/>
        <v>2.2814795637681629E-2</v>
      </c>
      <c r="K62" s="1"/>
      <c r="L62" s="1">
        <f t="shared" si="38"/>
        <v>-63.720000000000027</v>
      </c>
      <c r="M62" s="1"/>
      <c r="N62" s="5">
        <f t="shared" si="39"/>
        <v>-9.0382978723404298E-2</v>
      </c>
      <c r="O62" s="13"/>
      <c r="P62" s="1">
        <f>SUM(OSRRefP22_9x_0)</f>
        <v>5771.52</v>
      </c>
      <c r="Q62" s="1"/>
      <c r="R62" s="5">
        <f t="shared" si="40"/>
        <v>0.11402136952397057</v>
      </c>
      <c r="S62" s="1"/>
      <c r="T62" s="1">
        <f>SUM(OSRRefT22_9x_0)</f>
        <v>6345</v>
      </c>
      <c r="U62" s="1"/>
      <c r="V62" s="5">
        <f t="shared" si="41"/>
        <v>3.2663924510041131E-2</v>
      </c>
      <c r="W62" s="1"/>
      <c r="X62" s="1">
        <f t="shared" si="42"/>
        <v>-573.47999999999956</v>
      </c>
      <c r="Y62" s="1"/>
      <c r="Z62" s="5">
        <f t="shared" si="43"/>
        <v>-9.0382978723404186E-2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6"/>
        <v>0.11697536381512463</v>
      </c>
      <c r="G63" s="2"/>
      <c r="H63" s="7">
        <v>705</v>
      </c>
      <c r="I63" s="2"/>
      <c r="J63" s="6">
        <f t="shared" si="37"/>
        <v>2.2814795637681629E-2</v>
      </c>
      <c r="K63" s="2"/>
      <c r="L63" s="7">
        <f t="shared" si="38"/>
        <v>-63.720000000000027</v>
      </c>
      <c r="M63" s="2"/>
      <c r="N63" s="6">
        <f t="shared" si="39"/>
        <v>-9.0382978723404298E-2</v>
      </c>
      <c r="O63" s="11"/>
      <c r="P63" s="7">
        <v>5771.52</v>
      </c>
      <c r="Q63" s="2"/>
      <c r="R63" s="6">
        <f t="shared" si="40"/>
        <v>0.11402136952397057</v>
      </c>
      <c r="S63" s="2"/>
      <c r="T63" s="7">
        <v>6345</v>
      </c>
      <c r="U63" s="2"/>
      <c r="V63" s="6">
        <f t="shared" si="41"/>
        <v>3.2663924510041131E-2</v>
      </c>
      <c r="W63" s="2"/>
      <c r="X63" s="7">
        <f t="shared" si="42"/>
        <v>-573.47999999999956</v>
      </c>
      <c r="Y63" s="2"/>
      <c r="Z63" s="6">
        <f t="shared" si="43"/>
        <v>-9.0382978723404186E-2</v>
      </c>
    </row>
    <row r="64" spans="1:26" s="25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7510</v>
      </c>
      <c r="E64" s="1"/>
      <c r="F64" s="5">
        <f t="shared" si="36"/>
        <v>1.3698929987705619</v>
      </c>
      <c r="G64" s="1"/>
      <c r="H64" s="1">
        <f>SUM(OSRRefH22_10x_0)</f>
        <v>7510</v>
      </c>
      <c r="I64" s="1"/>
      <c r="J64" s="5">
        <f t="shared" si="37"/>
        <v>0.24303420601275039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67103.149999999994</v>
      </c>
      <c r="Q64" s="1"/>
      <c r="R64" s="5">
        <f t="shared" si="40"/>
        <v>1.3256807673494029</v>
      </c>
      <c r="S64" s="1"/>
      <c r="T64" s="1">
        <f>SUM(OSRRefT22_10x_0)</f>
        <v>67590</v>
      </c>
      <c r="U64" s="1"/>
      <c r="V64" s="5">
        <f t="shared" si="41"/>
        <v>0.34795187669561545</v>
      </c>
      <c r="W64" s="1"/>
      <c r="X64" s="1">
        <f t="shared" si="42"/>
        <v>-486.85000000000582</v>
      </c>
      <c r="Y64" s="1"/>
      <c r="Z64" s="5">
        <f t="shared" si="43"/>
        <v>-7.2029886077823024E-3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7">
        <v>7510</v>
      </c>
      <c r="E65" s="2"/>
      <c r="F65" s="6">
        <f t="shared" si="36"/>
        <v>1.3698929987705619</v>
      </c>
      <c r="G65" s="2"/>
      <c r="H65" s="7">
        <v>7510</v>
      </c>
      <c r="I65" s="2"/>
      <c r="J65" s="6">
        <f t="shared" si="37"/>
        <v>0.24303420601275039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67103.149999999994</v>
      </c>
      <c r="Q65" s="2"/>
      <c r="R65" s="6">
        <f t="shared" si="40"/>
        <v>1.3256807673494029</v>
      </c>
      <c r="S65" s="2"/>
      <c r="T65" s="7">
        <v>67590</v>
      </c>
      <c r="U65" s="2"/>
      <c r="V65" s="6">
        <f t="shared" si="41"/>
        <v>0.34795187669561545</v>
      </c>
      <c r="W65" s="2"/>
      <c r="X65" s="7">
        <f t="shared" si="42"/>
        <v>-486.85000000000582</v>
      </c>
      <c r="Y65" s="2"/>
      <c r="Z65" s="6">
        <f t="shared" si="43"/>
        <v>-7.2029886077823024E-3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6886.58</v>
      </c>
      <c r="E66" s="1"/>
      <c r="F66" s="5">
        <f t="shared" si="36"/>
        <v>1.2561754630457227</v>
      </c>
      <c r="G66" s="1"/>
      <c r="H66" s="1">
        <f>SUM(OSRRefH22_11x_0)</f>
        <v>1100</v>
      </c>
      <c r="I66" s="1"/>
      <c r="J66" s="5">
        <f t="shared" si="37"/>
        <v>3.559755347723375E-2</v>
      </c>
      <c r="K66" s="1"/>
      <c r="L66" s="1">
        <f t="shared" si="38"/>
        <v>5786.58</v>
      </c>
      <c r="M66" s="1"/>
      <c r="N66" s="5">
        <f t="shared" si="39"/>
        <v>5.2605272727272725</v>
      </c>
      <c r="O66" s="13"/>
      <c r="P66" s="1">
        <f>SUM(OSRRefP22_11x_0)</f>
        <v>22644.28</v>
      </c>
      <c r="Q66" s="1"/>
      <c r="R66" s="5">
        <f t="shared" si="40"/>
        <v>0.44735733697262697</v>
      </c>
      <c r="S66" s="1"/>
      <c r="T66" s="1">
        <f>SUM(OSRRefT22_11x_0)</f>
        <v>22063</v>
      </c>
      <c r="U66" s="1"/>
      <c r="V66" s="5">
        <f t="shared" si="41"/>
        <v>0.1135798528707703</v>
      </c>
      <c r="W66" s="1"/>
      <c r="X66" s="1">
        <f t="shared" si="42"/>
        <v>581.27999999999884</v>
      </c>
      <c r="Y66" s="1"/>
      <c r="Z66" s="5">
        <f t="shared" si="43"/>
        <v>2.6346371753614595E-2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>
        <v>871.52</v>
      </c>
      <c r="E67" s="2"/>
      <c r="F67" s="6">
        <f t="shared" si="36"/>
        <v>0.15897325516491614</v>
      </c>
      <c r="G67" s="2"/>
      <c r="H67" s="7"/>
      <c r="I67" s="2"/>
      <c r="J67" s="6">
        <f t="shared" si="37"/>
        <v>0</v>
      </c>
      <c r="K67" s="2"/>
      <c r="L67" s="7">
        <f t="shared" si="38"/>
        <v>871.52</v>
      </c>
      <c r="M67" s="2"/>
      <c r="N67" s="6">
        <f t="shared" si="39"/>
        <v>0</v>
      </c>
      <c r="O67" s="11"/>
      <c r="P67" s="7">
        <v>7467.86</v>
      </c>
      <c r="Q67" s="2"/>
      <c r="R67" s="6">
        <f t="shared" si="40"/>
        <v>0.14753403342850391</v>
      </c>
      <c r="S67" s="2"/>
      <c r="T67" s="7">
        <v>3769</v>
      </c>
      <c r="U67" s="2"/>
      <c r="V67" s="6">
        <f t="shared" si="41"/>
        <v>1.9402731517469667E-2</v>
      </c>
      <c r="W67" s="2"/>
      <c r="X67" s="7">
        <f t="shared" si="42"/>
        <v>3698.8599999999997</v>
      </c>
      <c r="Y67" s="2"/>
      <c r="Z67" s="6">
        <f t="shared" si="43"/>
        <v>0.98139028920137961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6015.06</v>
      </c>
      <c r="E68" s="2"/>
      <c r="F68" s="6">
        <f t="shared" si="36"/>
        <v>1.0972022078808066</v>
      </c>
      <c r="G68" s="2"/>
      <c r="H68" s="7">
        <v>1100</v>
      </c>
      <c r="I68" s="2"/>
      <c r="J68" s="6">
        <f t="shared" si="37"/>
        <v>3.559755347723375E-2</v>
      </c>
      <c r="K68" s="2"/>
      <c r="L68" s="7">
        <f t="shared" si="38"/>
        <v>4915.0600000000004</v>
      </c>
      <c r="M68" s="2"/>
      <c r="N68" s="6">
        <f t="shared" si="39"/>
        <v>4.4682363636363638</v>
      </c>
      <c r="O68" s="11"/>
      <c r="P68" s="7">
        <v>15176.42</v>
      </c>
      <c r="Q68" s="2"/>
      <c r="R68" s="6">
        <f t="shared" si="40"/>
        <v>0.29982330354412312</v>
      </c>
      <c r="S68" s="2"/>
      <c r="T68" s="7">
        <v>18294</v>
      </c>
      <c r="U68" s="2"/>
      <c r="V68" s="6">
        <f t="shared" si="41"/>
        <v>9.4177121353300627E-2</v>
      </c>
      <c r="W68" s="2"/>
      <c r="X68" s="7">
        <f t="shared" si="42"/>
        <v>-3117.58</v>
      </c>
      <c r="Y68" s="2"/>
      <c r="Z68" s="6">
        <f t="shared" si="43"/>
        <v>-0.17041543675522028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SUM(OSRRefD22_12x_0)</f>
        <v>-2676.7</v>
      </c>
      <c r="E69" s="1"/>
      <c r="F69" s="5">
        <f t="shared" ref="F69:F74" si="44">IF(D$12=0,0,D69/D$12)</f>
        <v>-0.48825467241133996</v>
      </c>
      <c r="G69" s="1"/>
      <c r="H69" s="1">
        <f>SUM(OSRRefH22_12x_0)</f>
        <v>4459</v>
      </c>
      <c r="I69" s="1"/>
      <c r="J69" s="5">
        <f t="shared" ref="J69:J74" si="45">IF(H$12=0,0,H69/H$12)</f>
        <v>0.1442995372318048</v>
      </c>
      <c r="K69" s="1"/>
      <c r="L69" s="1">
        <f t="shared" ref="L69:L74" si="46">+D69-H69</f>
        <v>-7135.7</v>
      </c>
      <c r="M69" s="1"/>
      <c r="N69" s="5">
        <f t="shared" ref="N69:N74" si="47">IF(H69=0,0,L69/H69)</f>
        <v>-1.6002915451895043</v>
      </c>
      <c r="O69" s="13"/>
      <c r="P69" s="1">
        <f>SUM(OSRRefP22_12x_0)</f>
        <v>21219.43</v>
      </c>
      <c r="Q69" s="1"/>
      <c r="R69" s="5">
        <f t="shared" ref="R69:R74" si="48">IF(P$12=0,0,P69/P$12)</f>
        <v>0.41920819283620725</v>
      </c>
      <c r="S69" s="1"/>
      <c r="T69" s="1">
        <f>SUM(OSRRefT22_12x_0)</f>
        <v>39331</v>
      </c>
      <c r="U69" s="1"/>
      <c r="V69" s="5">
        <f t="shared" ref="V69:V74" si="49">IF(T$12=0,0,T69/T$12)</f>
        <v>0.20247514813308554</v>
      </c>
      <c r="W69" s="1"/>
      <c r="X69" s="1">
        <f t="shared" ref="X69:X74" si="50">+P69-T69</f>
        <v>-18111.57</v>
      </c>
      <c r="Y69" s="1"/>
      <c r="Z69" s="5">
        <f t="shared" ref="Z69:Z74" si="51">IF(T69=0,0,X69/T69)</f>
        <v>-0.46049096132821438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328.54</v>
      </c>
      <c r="E70" s="2"/>
      <c r="F70" s="6">
        <f t="shared" si="44"/>
        <v>5.9928714489491407E-2</v>
      </c>
      <c r="G70" s="2"/>
      <c r="H70" s="7">
        <v>657</v>
      </c>
      <c r="I70" s="2"/>
      <c r="J70" s="6">
        <f t="shared" si="45"/>
        <v>2.1261447849584156E-2</v>
      </c>
      <c r="K70" s="2"/>
      <c r="L70" s="7">
        <f t="shared" si="46"/>
        <v>-328.46</v>
      </c>
      <c r="M70" s="2"/>
      <c r="N70" s="6">
        <f t="shared" si="47"/>
        <v>-0.49993911719939116</v>
      </c>
      <c r="O70" s="11"/>
      <c r="P70" s="7">
        <v>3108.73</v>
      </c>
      <c r="Q70" s="2"/>
      <c r="R70" s="6">
        <f t="shared" si="48"/>
        <v>6.1415649964004809E-2</v>
      </c>
      <c r="S70" s="2"/>
      <c r="T70" s="7">
        <v>3288</v>
      </c>
      <c r="U70" s="2"/>
      <c r="V70" s="6">
        <f t="shared" si="49"/>
        <v>1.6926553788654885E-2</v>
      </c>
      <c r="W70" s="2"/>
      <c r="X70" s="7">
        <f t="shared" si="50"/>
        <v>-179.26999999999998</v>
      </c>
      <c r="Y70" s="2"/>
      <c r="Z70" s="6">
        <f t="shared" si="51"/>
        <v>-5.4522506082725054E-2</v>
      </c>
    </row>
    <row r="71" spans="1:26" s="24" customFormat="1" hidden="1" outlineLevel="2" x14ac:dyDescent="0.25">
      <c r="A71" s="26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310</v>
      </c>
      <c r="U71" s="2"/>
      <c r="V71" s="6">
        <f t="shared" si="49"/>
        <v>1.5958733803172185E-3</v>
      </c>
      <c r="W71" s="2"/>
      <c r="X71" s="7">
        <f t="shared" si="50"/>
        <v>-310</v>
      </c>
      <c r="Y71" s="2"/>
      <c r="Z71" s="6">
        <f t="shared" si="51"/>
        <v>-1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>
        <v>-4698</v>
      </c>
      <c r="E72" s="2"/>
      <c r="F72" s="6">
        <f t="shared" si="44"/>
        <v>-0.85695836327884156</v>
      </c>
      <c r="G72" s="2"/>
      <c r="H72" s="7">
        <v>761</v>
      </c>
      <c r="I72" s="2"/>
      <c r="J72" s="6">
        <f t="shared" si="45"/>
        <v>2.4627034723795346E-2</v>
      </c>
      <c r="K72" s="2"/>
      <c r="L72" s="7">
        <f t="shared" si="46"/>
        <v>-5459</v>
      </c>
      <c r="M72" s="2"/>
      <c r="N72" s="6">
        <f t="shared" si="47"/>
        <v>-7.1734559789750332</v>
      </c>
      <c r="O72" s="11"/>
      <c r="P72" s="7">
        <v>3063</v>
      </c>
      <c r="Q72" s="2"/>
      <c r="R72" s="6">
        <f t="shared" si="48"/>
        <v>6.0512214261047671E-2</v>
      </c>
      <c r="S72" s="2"/>
      <c r="T72" s="7">
        <v>6841</v>
      </c>
      <c r="U72" s="2"/>
      <c r="V72" s="6">
        <f t="shared" si="49"/>
        <v>3.5217321918548684E-2</v>
      </c>
      <c r="W72" s="2"/>
      <c r="X72" s="7">
        <f t="shared" si="50"/>
        <v>-3778</v>
      </c>
      <c r="Y72" s="2"/>
      <c r="Z72" s="6">
        <f t="shared" si="51"/>
        <v>-0.55225844174828242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1692.76</v>
      </c>
      <c r="E73" s="2"/>
      <c r="F73" s="6">
        <f t="shared" si="44"/>
        <v>0.30877497637801021</v>
      </c>
      <c r="G73" s="2"/>
      <c r="H73" s="7">
        <v>3041</v>
      </c>
      <c r="I73" s="2"/>
      <c r="J73" s="6">
        <f t="shared" si="45"/>
        <v>9.8411054658425298E-2</v>
      </c>
      <c r="K73" s="2"/>
      <c r="L73" s="7">
        <f t="shared" si="46"/>
        <v>-1348.24</v>
      </c>
      <c r="M73" s="2"/>
      <c r="N73" s="6">
        <f t="shared" si="47"/>
        <v>-0.44335415981585008</v>
      </c>
      <c r="O73" s="11"/>
      <c r="P73" s="7">
        <v>14463.57</v>
      </c>
      <c r="Q73" s="2"/>
      <c r="R73" s="6">
        <f t="shared" si="48"/>
        <v>0.28574033523332071</v>
      </c>
      <c r="S73" s="2"/>
      <c r="T73" s="7">
        <v>28892</v>
      </c>
      <c r="U73" s="2"/>
      <c r="V73" s="6">
        <f t="shared" si="49"/>
        <v>0.14873539904556476</v>
      </c>
      <c r="W73" s="2"/>
      <c r="X73" s="7">
        <f t="shared" si="50"/>
        <v>-14428.43</v>
      </c>
      <c r="Y73" s="2"/>
      <c r="Z73" s="6">
        <f t="shared" si="51"/>
        <v>-0.49939187318288802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584.13</v>
      </c>
      <c r="Q74" s="2"/>
      <c r="R74" s="6">
        <f t="shared" si="48"/>
        <v>1.1539993377834077E-2</v>
      </c>
      <c r="S74" s="2"/>
      <c r="T74" s="7"/>
      <c r="U74" s="2"/>
      <c r="V74" s="6">
        <f t="shared" si="49"/>
        <v>0</v>
      </c>
      <c r="W74" s="2"/>
      <c r="X74" s="7">
        <f t="shared" si="50"/>
        <v>584.13</v>
      </c>
      <c r="Y74" s="2"/>
      <c r="Z74" s="6">
        <f t="shared" si="51"/>
        <v>0</v>
      </c>
    </row>
    <row r="75" spans="1:26" s="25" customFormat="1" outlineLevel="1" collapsed="1" x14ac:dyDescent="0.25">
      <c r="A75" s="27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0</v>
      </c>
      <c r="E75" s="1"/>
      <c r="F75" s="5">
        <f t="shared" ref="F75:F85" si="52">IF(D$12=0,0,D75/D$12)</f>
        <v>0</v>
      </c>
      <c r="G75" s="1"/>
      <c r="H75" s="1">
        <f>SUM(OSRRefH22_13x_0)</f>
        <v>200</v>
      </c>
      <c r="I75" s="1"/>
      <c r="J75" s="5">
        <f t="shared" ref="J75:J85" si="53">IF(H$12=0,0,H75/H$12)</f>
        <v>6.4722824504061353E-3</v>
      </c>
      <c r="K75" s="1"/>
      <c r="L75" s="1">
        <f t="shared" ref="L75:L85" si="54">+D75-H75</f>
        <v>-200</v>
      </c>
      <c r="M75" s="1"/>
      <c r="N75" s="5">
        <f t="shared" ref="N75:N85" si="55">IF(H75=0,0,L75/H75)</f>
        <v>-1</v>
      </c>
      <c r="O75" s="13"/>
      <c r="P75" s="1">
        <f>SUM(OSRRefP22_13x_0)</f>
        <v>797.01</v>
      </c>
      <c r="Q75" s="1"/>
      <c r="R75" s="5">
        <f t="shared" ref="R75:R85" si="56">IF(P$12=0,0,P75/P$12)</f>
        <v>1.5745621902774273E-2</v>
      </c>
      <c r="S75" s="1"/>
      <c r="T75" s="1">
        <f>SUM(OSRRefT22_13x_0)</f>
        <v>1781</v>
      </c>
      <c r="U75" s="1"/>
      <c r="V75" s="5">
        <f t="shared" ref="V75:V85" si="57">IF(T$12=0,0,T75/T$12)</f>
        <v>9.1685499688547289E-3</v>
      </c>
      <c r="W75" s="1"/>
      <c r="X75" s="1">
        <f t="shared" ref="X75:X85" si="58">+P75-T75</f>
        <v>-983.99</v>
      </c>
      <c r="Y75" s="1"/>
      <c r="Z75" s="5">
        <f t="shared" ref="Z75:Z85" si="59">IF(T75=0,0,X75/T75)</f>
        <v>-0.55249298147108361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7"/>
      <c r="E76" s="2"/>
      <c r="F76" s="6">
        <f t="shared" si="52"/>
        <v>0</v>
      </c>
      <c r="G76" s="2"/>
      <c r="H76" s="7">
        <v>200</v>
      </c>
      <c r="I76" s="2"/>
      <c r="J76" s="6">
        <f t="shared" si="53"/>
        <v>6.4722824504061353E-3</v>
      </c>
      <c r="K76" s="2"/>
      <c r="L76" s="7">
        <f t="shared" si="54"/>
        <v>-200</v>
      </c>
      <c r="M76" s="2"/>
      <c r="N76" s="6">
        <f t="shared" si="55"/>
        <v>-1</v>
      </c>
      <c r="O76" s="11"/>
      <c r="P76" s="7">
        <v>797.01</v>
      </c>
      <c r="Q76" s="2"/>
      <c r="R76" s="6">
        <f t="shared" si="56"/>
        <v>1.5745621902774273E-2</v>
      </c>
      <c r="S76" s="2"/>
      <c r="T76" s="7">
        <v>1781</v>
      </c>
      <c r="U76" s="2"/>
      <c r="V76" s="6">
        <f t="shared" si="57"/>
        <v>9.1685499688547289E-3</v>
      </c>
      <c r="W76" s="2"/>
      <c r="X76" s="7">
        <f t="shared" si="58"/>
        <v>-983.99</v>
      </c>
      <c r="Y76" s="2"/>
      <c r="Z76" s="6">
        <f t="shared" si="59"/>
        <v>-0.55249298147108361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94.92</v>
      </c>
      <c r="E77" s="1"/>
      <c r="F77" s="5">
        <f t="shared" si="52"/>
        <v>1.7314280085659352E-2</v>
      </c>
      <c r="G77" s="1"/>
      <c r="H77" s="1">
        <f>SUM(OSRRefH22_14x_0)</f>
        <v>1350</v>
      </c>
      <c r="I77" s="1"/>
      <c r="J77" s="5">
        <f t="shared" si="53"/>
        <v>4.3687906540241413E-2</v>
      </c>
      <c r="K77" s="1"/>
      <c r="L77" s="1">
        <f t="shared" si="54"/>
        <v>-1255.08</v>
      </c>
      <c r="M77" s="1"/>
      <c r="N77" s="5">
        <f t="shared" si="55"/>
        <v>-0.92968888888888879</v>
      </c>
      <c r="O77" s="13"/>
      <c r="P77" s="1">
        <f>SUM(OSRRefP22_14x_0)</f>
        <v>7751.9299999999994</v>
      </c>
      <c r="Q77" s="1"/>
      <c r="R77" s="5">
        <f t="shared" si="56"/>
        <v>0.1531460819773566</v>
      </c>
      <c r="S77" s="1"/>
      <c r="T77" s="1">
        <f>SUM(OSRRefT22_14x_0)</f>
        <v>20925</v>
      </c>
      <c r="U77" s="1"/>
      <c r="V77" s="5">
        <f t="shared" si="57"/>
        <v>0.10772145317141224</v>
      </c>
      <c r="W77" s="1"/>
      <c r="X77" s="1">
        <f t="shared" si="58"/>
        <v>-13173.07</v>
      </c>
      <c r="Y77" s="1"/>
      <c r="Z77" s="5">
        <f t="shared" si="59"/>
        <v>-0.62953739545997611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310.91000000000003</v>
      </c>
      <c r="Q78" s="2"/>
      <c r="R78" s="6">
        <f t="shared" si="56"/>
        <v>6.1422959634026553E-3</v>
      </c>
      <c r="S78" s="2"/>
      <c r="T78" s="7">
        <v>1076</v>
      </c>
      <c r="U78" s="2"/>
      <c r="V78" s="6">
        <f t="shared" si="57"/>
        <v>5.5392250232946033E-3</v>
      </c>
      <c r="W78" s="2"/>
      <c r="X78" s="7">
        <f t="shared" si="58"/>
        <v>-765.08999999999992</v>
      </c>
      <c r="Y78" s="2"/>
      <c r="Z78" s="6">
        <f t="shared" si="59"/>
        <v>-0.71105018587360591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6753.97</v>
      </c>
      <c r="Q79" s="2"/>
      <c r="R79" s="6">
        <f t="shared" si="56"/>
        <v>0.13343051901818093</v>
      </c>
      <c r="S79" s="2"/>
      <c r="T79" s="7"/>
      <c r="U79" s="2"/>
      <c r="V79" s="6">
        <f t="shared" si="57"/>
        <v>0</v>
      </c>
      <c r="W79" s="2"/>
      <c r="X79" s="7">
        <f t="shared" si="58"/>
        <v>6753.97</v>
      </c>
      <c r="Y79" s="2"/>
      <c r="Z79" s="6">
        <f t="shared" si="59"/>
        <v>0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2"/>
        <v>0</v>
      </c>
      <c r="G80" s="2"/>
      <c r="H80" s="7">
        <v>600</v>
      </c>
      <c r="I80" s="2"/>
      <c r="J80" s="6">
        <f t="shared" si="53"/>
        <v>1.9416847351218406E-2</v>
      </c>
      <c r="K80" s="2"/>
      <c r="L80" s="7">
        <f t="shared" si="54"/>
        <v>-600</v>
      </c>
      <c r="M80" s="2"/>
      <c r="N80" s="6">
        <f t="shared" si="55"/>
        <v>-1</v>
      </c>
      <c r="O80" s="11"/>
      <c r="P80" s="7">
        <v>286.91000000000003</v>
      </c>
      <c r="Q80" s="2"/>
      <c r="R80" s="6">
        <f t="shared" si="56"/>
        <v>5.6681552052357783E-3</v>
      </c>
      <c r="S80" s="2"/>
      <c r="T80" s="7">
        <v>8449</v>
      </c>
      <c r="U80" s="2"/>
      <c r="V80" s="6">
        <f t="shared" si="57"/>
        <v>4.3495271581613482E-2</v>
      </c>
      <c r="W80" s="2"/>
      <c r="X80" s="7">
        <f t="shared" si="58"/>
        <v>-8162.09</v>
      </c>
      <c r="Y80" s="2"/>
      <c r="Z80" s="6">
        <f t="shared" si="59"/>
        <v>-0.96604213516392479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2"/>
        <v>0</v>
      </c>
      <c r="G81" s="2"/>
      <c r="H81" s="7">
        <v>50</v>
      </c>
      <c r="I81" s="2"/>
      <c r="J81" s="6">
        <f t="shared" si="53"/>
        <v>1.6180706126015338E-3</v>
      </c>
      <c r="K81" s="2"/>
      <c r="L81" s="7">
        <f t="shared" si="54"/>
        <v>-50</v>
      </c>
      <c r="M81" s="2"/>
      <c r="N81" s="6">
        <f t="shared" si="55"/>
        <v>-1</v>
      </c>
      <c r="O81" s="11"/>
      <c r="P81" s="7">
        <v>19.829999999999998</v>
      </c>
      <c r="Q81" s="2"/>
      <c r="R81" s="6">
        <f t="shared" si="56"/>
        <v>3.9175880143538206E-4</v>
      </c>
      <c r="S81" s="2"/>
      <c r="T81" s="7">
        <v>393</v>
      </c>
      <c r="U81" s="2"/>
      <c r="V81" s="6">
        <f t="shared" si="57"/>
        <v>2.023155607950538E-3</v>
      </c>
      <c r="W81" s="2"/>
      <c r="X81" s="7">
        <f t="shared" si="58"/>
        <v>-373.17</v>
      </c>
      <c r="Y81" s="2"/>
      <c r="Z81" s="6">
        <f t="shared" si="59"/>
        <v>-0.94954198473282447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/>
      <c r="E82" s="2"/>
      <c r="F82" s="6">
        <f t="shared" si="52"/>
        <v>0</v>
      </c>
      <c r="G82" s="2"/>
      <c r="H82" s="7">
        <v>100</v>
      </c>
      <c r="I82" s="2"/>
      <c r="J82" s="6">
        <f t="shared" si="53"/>
        <v>3.2361412252030677E-3</v>
      </c>
      <c r="K82" s="2"/>
      <c r="L82" s="7">
        <f t="shared" si="54"/>
        <v>-100</v>
      </c>
      <c r="M82" s="2"/>
      <c r="N82" s="6">
        <f t="shared" si="55"/>
        <v>-1</v>
      </c>
      <c r="O82" s="11"/>
      <c r="P82" s="7">
        <v>219.9</v>
      </c>
      <c r="Q82" s="2"/>
      <c r="R82" s="6">
        <f t="shared" si="56"/>
        <v>4.3443146967040106E-3</v>
      </c>
      <c r="S82" s="2"/>
      <c r="T82" s="7">
        <v>5362</v>
      </c>
      <c r="U82" s="2"/>
      <c r="V82" s="6">
        <f t="shared" si="57"/>
        <v>2.7603461500841694E-2</v>
      </c>
      <c r="W82" s="2"/>
      <c r="X82" s="7">
        <f t="shared" si="58"/>
        <v>-5142.1000000000004</v>
      </c>
      <c r="Y82" s="2"/>
      <c r="Z82" s="6">
        <f t="shared" si="59"/>
        <v>-0.95898918314061921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>
        <v>94.92</v>
      </c>
      <c r="E83" s="2"/>
      <c r="F83" s="6">
        <f t="shared" si="52"/>
        <v>1.7314280085659352E-2</v>
      </c>
      <c r="G83" s="2"/>
      <c r="H83" s="7">
        <v>600</v>
      </c>
      <c r="I83" s="2"/>
      <c r="J83" s="6">
        <f t="shared" si="53"/>
        <v>1.9416847351218406E-2</v>
      </c>
      <c r="K83" s="2"/>
      <c r="L83" s="7">
        <f t="shared" si="54"/>
        <v>-505.08</v>
      </c>
      <c r="M83" s="2"/>
      <c r="N83" s="6">
        <f t="shared" si="55"/>
        <v>-0.84179999999999999</v>
      </c>
      <c r="O83" s="11"/>
      <c r="P83" s="7">
        <v>160.41</v>
      </c>
      <c r="Q83" s="2"/>
      <c r="R83" s="6">
        <f t="shared" si="56"/>
        <v>3.1690382923978636E-3</v>
      </c>
      <c r="S83" s="2"/>
      <c r="T83" s="7">
        <v>5219</v>
      </c>
      <c r="U83" s="2"/>
      <c r="V83" s="6">
        <f t="shared" si="57"/>
        <v>2.6867300554437302E-2</v>
      </c>
      <c r="W83" s="2"/>
      <c r="X83" s="7">
        <f t="shared" si="58"/>
        <v>-5058.59</v>
      </c>
      <c r="Y83" s="2"/>
      <c r="Z83" s="6">
        <f t="shared" si="59"/>
        <v>-0.96926422686338387</v>
      </c>
    </row>
    <row r="84" spans="1:26" s="24" customFormat="1" hidden="1" outlineLevel="2" x14ac:dyDescent="0.25">
      <c r="A84" s="26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/>
      <c r="Q84" s="2"/>
      <c r="R84" s="6">
        <f t="shared" si="56"/>
        <v>0</v>
      </c>
      <c r="S84" s="2"/>
      <c r="T84" s="7">
        <v>411</v>
      </c>
      <c r="U84" s="2"/>
      <c r="V84" s="6">
        <f t="shared" si="57"/>
        <v>2.1158192235818606E-3</v>
      </c>
      <c r="W84" s="2"/>
      <c r="X84" s="7">
        <f t="shared" si="58"/>
        <v>-411</v>
      </c>
      <c r="Y84" s="2"/>
      <c r="Z84" s="6">
        <f t="shared" si="59"/>
        <v>-1</v>
      </c>
    </row>
    <row r="85" spans="1:26" s="24" customFormat="1" hidden="1" outlineLevel="2" x14ac:dyDescent="0.25">
      <c r="A85" s="26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2"/>
        <v>0</v>
      </c>
      <c r="G85" s="2"/>
      <c r="H85" s="7"/>
      <c r="I85" s="2"/>
      <c r="J85" s="6">
        <f t="shared" si="53"/>
        <v>0</v>
      </c>
      <c r="K85" s="2"/>
      <c r="L85" s="7">
        <f t="shared" si="54"/>
        <v>0</v>
      </c>
      <c r="M85" s="2"/>
      <c r="N85" s="6">
        <f t="shared" si="55"/>
        <v>0</v>
      </c>
      <c r="O85" s="11"/>
      <c r="P85" s="7"/>
      <c r="Q85" s="2"/>
      <c r="R85" s="6">
        <f t="shared" si="56"/>
        <v>0</v>
      </c>
      <c r="S85" s="2"/>
      <c r="T85" s="7">
        <v>15</v>
      </c>
      <c r="U85" s="2"/>
      <c r="V85" s="6">
        <f t="shared" si="57"/>
        <v>7.7219679692768628E-5</v>
      </c>
      <c r="W85" s="2"/>
      <c r="X85" s="7">
        <f t="shared" si="58"/>
        <v>-15</v>
      </c>
      <c r="Y85" s="2"/>
      <c r="Z85" s="6">
        <f t="shared" si="59"/>
        <v>-1</v>
      </c>
    </row>
    <row r="86" spans="1:26" s="25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82</v>
      </c>
      <c r="E86" s="1"/>
      <c r="F86" s="5">
        <f t="shared" ref="F86:F88" si="60">IF(D$12=0,0,D86/D$12)</f>
        <v>1.4957553382048747E-2</v>
      </c>
      <c r="G86" s="1"/>
      <c r="H86" s="1">
        <f>SUM(OSRRefH22_15x_0)</f>
        <v>135</v>
      </c>
      <c r="I86" s="1"/>
      <c r="J86" s="5">
        <f t="shared" ref="J86:J88" si="61">IF(H$12=0,0,H86/H$12)</f>
        <v>4.3687906540241413E-3</v>
      </c>
      <c r="K86" s="1"/>
      <c r="L86" s="1">
        <f t="shared" ref="L86:L88" si="62">+D86-H86</f>
        <v>-53</v>
      </c>
      <c r="M86" s="1"/>
      <c r="N86" s="5">
        <f t="shared" ref="N86:N88" si="63">IF(H86=0,0,L86/H86)</f>
        <v>-0.3925925925925926</v>
      </c>
      <c r="O86" s="13"/>
      <c r="P86" s="1">
        <f>SUM(OSRRefP22_15x_0)</f>
        <v>1691</v>
      </c>
      <c r="Q86" s="1"/>
      <c r="R86" s="5">
        <f t="shared" ref="R86:R88" si="64">IF(P$12=0,0,P86/P$12)</f>
        <v>3.3407167585841203E-2</v>
      </c>
      <c r="S86" s="1"/>
      <c r="T86" s="1">
        <f>SUM(OSRRefT22_15x_0)</f>
        <v>1707</v>
      </c>
      <c r="U86" s="1"/>
      <c r="V86" s="5">
        <f t="shared" ref="V86:V88" si="65">IF(T$12=0,0,T86/T$12)</f>
        <v>8.7875995490370711E-3</v>
      </c>
      <c r="W86" s="1"/>
      <c r="X86" s="1">
        <f t="shared" ref="X86:X88" si="66">+P86-T86</f>
        <v>-16</v>
      </c>
      <c r="Y86" s="1"/>
      <c r="Z86" s="5">
        <f t="shared" ref="Z86:Z88" si="67">IF(T86=0,0,X86/T86)</f>
        <v>-9.3731693028705331E-3</v>
      </c>
    </row>
    <row r="87" spans="1:26" s="24" customFormat="1" hidden="1" outlineLevel="2" x14ac:dyDescent="0.25">
      <c r="A87" s="26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0"/>
        <v>0</v>
      </c>
      <c r="G87" s="2"/>
      <c r="H87" s="7">
        <v>135</v>
      </c>
      <c r="I87" s="2"/>
      <c r="J87" s="6">
        <f t="shared" si="61"/>
        <v>4.3687906540241413E-3</v>
      </c>
      <c r="K87" s="2"/>
      <c r="L87" s="7">
        <f t="shared" si="62"/>
        <v>-135</v>
      </c>
      <c r="M87" s="2"/>
      <c r="N87" s="6">
        <f t="shared" si="63"/>
        <v>-1</v>
      </c>
      <c r="O87" s="11"/>
      <c r="P87" s="7"/>
      <c r="Q87" s="2"/>
      <c r="R87" s="6">
        <f t="shared" si="64"/>
        <v>0</v>
      </c>
      <c r="S87" s="2"/>
      <c r="T87" s="7">
        <v>1257</v>
      </c>
      <c r="U87" s="2"/>
      <c r="V87" s="6">
        <f t="shared" si="65"/>
        <v>6.4710091582540112E-3</v>
      </c>
      <c r="W87" s="2"/>
      <c r="X87" s="7">
        <f t="shared" si="66"/>
        <v>-1257</v>
      </c>
      <c r="Y87" s="2"/>
      <c r="Z87" s="6">
        <f t="shared" si="67"/>
        <v>-1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7">
        <v>82</v>
      </c>
      <c r="E88" s="2"/>
      <c r="F88" s="6">
        <f t="shared" si="60"/>
        <v>1.4957553382048747E-2</v>
      </c>
      <c r="G88" s="2"/>
      <c r="H88" s="7"/>
      <c r="I88" s="2"/>
      <c r="J88" s="6">
        <f t="shared" si="61"/>
        <v>0</v>
      </c>
      <c r="K88" s="2"/>
      <c r="L88" s="7">
        <f t="shared" si="62"/>
        <v>82</v>
      </c>
      <c r="M88" s="2"/>
      <c r="N88" s="6">
        <f t="shared" si="63"/>
        <v>0</v>
      </c>
      <c r="O88" s="11"/>
      <c r="P88" s="7">
        <v>1691</v>
      </c>
      <c r="Q88" s="2"/>
      <c r="R88" s="6">
        <f t="shared" si="64"/>
        <v>3.3407167585841203E-2</v>
      </c>
      <c r="S88" s="2"/>
      <c r="T88" s="7">
        <v>450</v>
      </c>
      <c r="U88" s="2"/>
      <c r="V88" s="6">
        <f t="shared" si="65"/>
        <v>2.316590390783059E-3</v>
      </c>
      <c r="W88" s="2"/>
      <c r="X88" s="7">
        <f t="shared" si="66"/>
        <v>1241</v>
      </c>
      <c r="Y88" s="2"/>
      <c r="Z88" s="6">
        <f t="shared" si="67"/>
        <v>2.7577777777777777</v>
      </c>
    </row>
    <row r="89" spans="1:26" s="25" customFormat="1" outlineLevel="1" collapsed="1" x14ac:dyDescent="0.25">
      <c r="A89" s="27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ref="F89:F93" si="68">IF(D$12=0,0,D89/D$12)</f>
        <v>0</v>
      </c>
      <c r="G89" s="1"/>
      <c r="H89" s="1">
        <f>SUM(OSRRefH22_16x_0)</f>
        <v>0</v>
      </c>
      <c r="I89" s="1"/>
      <c r="J89" s="5">
        <f t="shared" ref="J89:J93" si="69">IF(H$12=0,0,H89/H$12)</f>
        <v>0</v>
      </c>
      <c r="K89" s="1"/>
      <c r="L89" s="1">
        <f t="shared" ref="L89:L93" si="70">+D89-H89</f>
        <v>0</v>
      </c>
      <c r="M89" s="1"/>
      <c r="N89" s="5">
        <f t="shared" ref="N89:N93" si="71">IF(H89=0,0,L89/H89)</f>
        <v>0</v>
      </c>
      <c r="O89" s="13"/>
      <c r="P89" s="1">
        <f>SUM(OSRRefP22_16x_0)</f>
        <v>400</v>
      </c>
      <c r="Q89" s="1"/>
      <c r="R89" s="5">
        <f t="shared" ref="R89:R93" si="72">IF(P$12=0,0,P89/P$12)</f>
        <v>7.9023459694479489E-3</v>
      </c>
      <c r="S89" s="1"/>
      <c r="T89" s="1">
        <f>SUM(OSRRefT22_16x_0)</f>
        <v>0</v>
      </c>
      <c r="U89" s="1"/>
      <c r="V89" s="5">
        <f t="shared" ref="V89:V93" si="73">IF(T$12=0,0,T89/T$12)</f>
        <v>0</v>
      </c>
      <c r="W89" s="1"/>
      <c r="X89" s="1">
        <f t="shared" ref="X89:X93" si="74">+P89-T89</f>
        <v>400</v>
      </c>
      <c r="Y89" s="1"/>
      <c r="Z89" s="5">
        <f t="shared" ref="Z89:Z93" si="75">IF(T89=0,0,X89/T89)</f>
        <v>0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8"/>
        <v>0</v>
      </c>
      <c r="G90" s="2"/>
      <c r="H90" s="7"/>
      <c r="I90" s="2"/>
      <c r="J90" s="6">
        <f t="shared" si="69"/>
        <v>0</v>
      </c>
      <c r="K90" s="2"/>
      <c r="L90" s="7">
        <f t="shared" si="70"/>
        <v>0</v>
      </c>
      <c r="M90" s="2"/>
      <c r="N90" s="6">
        <f t="shared" si="71"/>
        <v>0</v>
      </c>
      <c r="O90" s="11"/>
      <c r="P90" s="7">
        <v>400</v>
      </c>
      <c r="Q90" s="2"/>
      <c r="R90" s="6">
        <f t="shared" si="72"/>
        <v>7.9023459694479489E-3</v>
      </c>
      <c r="S90" s="2"/>
      <c r="T90" s="7"/>
      <c r="U90" s="2"/>
      <c r="V90" s="6">
        <f t="shared" si="73"/>
        <v>0</v>
      </c>
      <c r="W90" s="2"/>
      <c r="X90" s="7">
        <f t="shared" si="74"/>
        <v>400</v>
      </c>
      <c r="Y90" s="2"/>
      <c r="Z90" s="6">
        <f t="shared" si="75"/>
        <v>0</v>
      </c>
    </row>
    <row r="91" spans="1:26" s="25" customFormat="1" outlineLevel="1" collapsed="1" x14ac:dyDescent="0.25">
      <c r="A91" s="27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0</v>
      </c>
      <c r="Q91" s="1"/>
      <c r="R91" s="5">
        <f t="shared" si="72"/>
        <v>0</v>
      </c>
      <c r="S91" s="1"/>
      <c r="T91" s="1">
        <f>SUM(OSRRefT22_17x_0)</f>
        <v>0</v>
      </c>
      <c r="U91" s="1"/>
      <c r="V91" s="5">
        <f t="shared" si="73"/>
        <v>0</v>
      </c>
      <c r="W91" s="1"/>
      <c r="X91" s="1">
        <f t="shared" si="74"/>
        <v>0</v>
      </c>
      <c r="Y91" s="1"/>
      <c r="Z91" s="5">
        <f t="shared" si="75"/>
        <v>0</v>
      </c>
    </row>
    <row r="92" spans="1:26" s="24" customFormat="1" hidden="1" outlineLevel="2" x14ac:dyDescent="0.25">
      <c r="A92" s="26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8"/>
        <v>0</v>
      </c>
      <c r="G92" s="2"/>
      <c r="H92" s="7"/>
      <c r="I92" s="2"/>
      <c r="J92" s="6">
        <f t="shared" si="69"/>
        <v>0</v>
      </c>
      <c r="K92" s="2"/>
      <c r="L92" s="7">
        <f t="shared" si="70"/>
        <v>0</v>
      </c>
      <c r="M92" s="2"/>
      <c r="N92" s="6">
        <f t="shared" si="71"/>
        <v>0</v>
      </c>
      <c r="O92" s="11"/>
      <c r="P92" s="7"/>
      <c r="Q92" s="2"/>
      <c r="R92" s="6">
        <f t="shared" si="72"/>
        <v>0</v>
      </c>
      <c r="S92" s="2"/>
      <c r="T92" s="7">
        <v>0</v>
      </c>
      <c r="U92" s="2"/>
      <c r="V92" s="6">
        <f t="shared" si="73"/>
        <v>0</v>
      </c>
      <c r="W92" s="2"/>
      <c r="X92" s="7">
        <f t="shared" si="74"/>
        <v>0</v>
      </c>
      <c r="Y92" s="2"/>
      <c r="Z92" s="6">
        <f t="shared" si="75"/>
        <v>0</v>
      </c>
    </row>
    <row r="93" spans="1:26" s="24" customFormat="1" hidden="1" outlineLevel="2" x14ac:dyDescent="0.25">
      <c r="A93" s="26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68"/>
        <v>0</v>
      </c>
      <c r="G93" s="2"/>
      <c r="H93" s="7"/>
      <c r="I93" s="2"/>
      <c r="J93" s="6">
        <f t="shared" si="69"/>
        <v>0</v>
      </c>
      <c r="K93" s="2"/>
      <c r="L93" s="7">
        <f t="shared" si="70"/>
        <v>0</v>
      </c>
      <c r="M93" s="2"/>
      <c r="N93" s="6">
        <f t="shared" si="71"/>
        <v>0</v>
      </c>
      <c r="O93" s="11"/>
      <c r="P93" s="7"/>
      <c r="Q93" s="2"/>
      <c r="R93" s="6">
        <f t="shared" si="72"/>
        <v>0</v>
      </c>
      <c r="S93" s="2"/>
      <c r="T93" s="7">
        <v>0</v>
      </c>
      <c r="U93" s="2"/>
      <c r="V93" s="6">
        <f t="shared" si="73"/>
        <v>0</v>
      </c>
      <c r="W93" s="2"/>
      <c r="X93" s="7">
        <f t="shared" si="74"/>
        <v>0</v>
      </c>
      <c r="Y93" s="2"/>
      <c r="Z93" s="6">
        <f t="shared" si="75"/>
        <v>0</v>
      </c>
    </row>
    <row r="94" spans="1:26" s="25" customFormat="1" outlineLevel="1" collapsed="1" x14ac:dyDescent="0.25">
      <c r="A94" s="27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SUM(OSRRefD22_18x_0)</f>
        <v>-10123</v>
      </c>
      <c r="E94" s="1"/>
      <c r="F94" s="5">
        <f t="shared" ref="F94:F95" si="76">IF(D$12=0,0,D94/D$12)</f>
        <v>-1.8465282059326764</v>
      </c>
      <c r="G94" s="1"/>
      <c r="H94" s="1">
        <f>SUM(OSRRefH22_18x_0)</f>
        <v>2300</v>
      </c>
      <c r="I94" s="1"/>
      <c r="J94" s="5">
        <f t="shared" ref="J94:J95" si="77">IF(H$12=0,0,H94/H$12)</f>
        <v>7.4431248179670562E-2</v>
      </c>
      <c r="K94" s="1"/>
      <c r="L94" s="1">
        <f t="shared" ref="L94:L95" si="78">+D94-H94</f>
        <v>-12423</v>
      </c>
      <c r="M94" s="1"/>
      <c r="N94" s="5">
        <f t="shared" ref="N94:N95" si="79">IF(H94=0,0,L94/H94)</f>
        <v>-5.4013043478260867</v>
      </c>
      <c r="O94" s="13"/>
      <c r="P94" s="1">
        <f>SUM(OSRRefP22_18x_0)</f>
        <v>8325</v>
      </c>
      <c r="Q94" s="1"/>
      <c r="R94" s="5">
        <f t="shared" ref="R94:R95" si="80">IF(P$12=0,0,P94/P$12)</f>
        <v>0.16446757548913543</v>
      </c>
      <c r="S94" s="1"/>
      <c r="T94" s="1">
        <f>SUM(OSRRefT22_18x_0)</f>
        <v>20700</v>
      </c>
      <c r="U94" s="1"/>
      <c r="V94" s="5">
        <f t="shared" ref="V94:V95" si="81">IF(T$12=0,0,T94/T$12)</f>
        <v>0.10656315797602071</v>
      </c>
      <c r="W94" s="1"/>
      <c r="X94" s="1">
        <f t="shared" ref="X94:X95" si="82">+P94-T94</f>
        <v>-12375</v>
      </c>
      <c r="Y94" s="1"/>
      <c r="Z94" s="5">
        <f t="shared" ref="Z94:Z95" si="83">IF(T94=0,0,X94/T94)</f>
        <v>-0.59782608695652173</v>
      </c>
    </row>
    <row r="95" spans="1:26" s="24" customFormat="1" hidden="1" outlineLevel="2" x14ac:dyDescent="0.25">
      <c r="A95" s="26"/>
      <c r="B95" s="11" t="str">
        <f>CONCATENATE("          ", "6274", " - ", "UTILITIES")</f>
        <v xml:space="preserve">          6274 - UTILITIES</v>
      </c>
      <c r="C95" s="11"/>
      <c r="D95" s="7">
        <v>-10123</v>
      </c>
      <c r="E95" s="2"/>
      <c r="F95" s="6">
        <f t="shared" si="76"/>
        <v>-1.8465282059326764</v>
      </c>
      <c r="G95" s="2"/>
      <c r="H95" s="7">
        <v>2300</v>
      </c>
      <c r="I95" s="2"/>
      <c r="J95" s="6">
        <f t="shared" si="77"/>
        <v>7.4431248179670562E-2</v>
      </c>
      <c r="K95" s="2"/>
      <c r="L95" s="7">
        <f t="shared" si="78"/>
        <v>-12423</v>
      </c>
      <c r="M95" s="2"/>
      <c r="N95" s="6">
        <f t="shared" si="79"/>
        <v>-5.4013043478260867</v>
      </c>
      <c r="O95" s="11"/>
      <c r="P95" s="7">
        <v>8325</v>
      </c>
      <c r="Q95" s="2"/>
      <c r="R95" s="6">
        <f t="shared" si="80"/>
        <v>0.16446757548913543</v>
      </c>
      <c r="S95" s="2"/>
      <c r="T95" s="7">
        <v>20700</v>
      </c>
      <c r="U95" s="2"/>
      <c r="V95" s="6">
        <f t="shared" si="81"/>
        <v>0.10656315797602071</v>
      </c>
      <c r="W95" s="2"/>
      <c r="X95" s="7">
        <f t="shared" si="82"/>
        <v>-12375</v>
      </c>
      <c r="Y95" s="2"/>
      <c r="Z95" s="6">
        <f t="shared" si="83"/>
        <v>-0.59782608695652173</v>
      </c>
    </row>
    <row r="96" spans="1:26" s="59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8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9" t="s">
        <v>277</v>
      </c>
      <c r="C99" s="29"/>
      <c r="D99" s="20">
        <f>+D23-D25+D97</f>
        <v>-42383.789999999994</v>
      </c>
      <c r="E99" s="14"/>
      <c r="F99" s="21">
        <f>IF(D$12=0,0,D99/D$12)</f>
        <v>-7.7311927007139483</v>
      </c>
      <c r="G99" s="14"/>
      <c r="H99" s="20">
        <f>+H23-H25+H97</f>
        <v>-38107.508685092311</v>
      </c>
      <c r="I99" s="14"/>
      <c r="J99" s="21">
        <f>IF(H$12=0,0,H99/H$12)</f>
        <v>-1.2332127984561119</v>
      </c>
      <c r="K99" s="16"/>
      <c r="L99" s="20">
        <f>+D99-H99</f>
        <v>-4276.2813149076828</v>
      </c>
      <c r="M99" s="16"/>
      <c r="N99" s="21">
        <f>IF(H99=0,0,L99/H99)</f>
        <v>0.11221623933082163</v>
      </c>
      <c r="O99" s="28"/>
      <c r="P99" s="20">
        <f>+P23-P25+P97</f>
        <v>-512941.21000000008</v>
      </c>
      <c r="Q99" s="14"/>
      <c r="R99" s="21">
        <f>IF(P$12=0,0,P99/P$12)</f>
        <v>-10.133597258518137</v>
      </c>
      <c r="S99" s="14"/>
      <c r="T99" s="20">
        <f>+T23-T25+T97</f>
        <v>-378098.68822303461</v>
      </c>
      <c r="U99" s="14"/>
      <c r="V99" s="21">
        <f>IF(T$12=0,0,T99/T$12)</f>
        <v>-1.9464439731225815</v>
      </c>
      <c r="W99" s="16"/>
      <c r="X99" s="20">
        <f>+P99-T99</f>
        <v>-134842.52177696547</v>
      </c>
      <c r="Y99" s="16"/>
      <c r="Z99" s="21">
        <f>IF(T99=0,0,X99/T99)</f>
        <v>0.35663313832346316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128</v>
      </c>
      <c r="C101" s="10"/>
      <c r="D101" s="4">
        <v>1493.44</v>
      </c>
      <c r="E101" s="4"/>
      <c r="F101" s="12">
        <f>IF(D$12=0,0,D101/D$12)</f>
        <v>0.2724171771083766</v>
      </c>
      <c r="G101" s="4"/>
      <c r="H101" s="4">
        <v>6259</v>
      </c>
      <c r="I101" s="4"/>
      <c r="J101" s="12">
        <f>IF(H$12=0,0,H101/H$12)</f>
        <v>0.20255007928546001</v>
      </c>
      <c r="K101" s="4"/>
      <c r="L101" s="4">
        <f>+D101-H101</f>
        <v>-4765.5599999999995</v>
      </c>
      <c r="M101" s="4"/>
      <c r="N101" s="12">
        <f>IF(H101=0,0,L101/H101)</f>
        <v>-0.76139319380092663</v>
      </c>
      <c r="O101" s="10"/>
      <c r="P101" s="4">
        <v>10431.92</v>
      </c>
      <c r="Q101" s="4"/>
      <c r="R101" s="12">
        <f>IF(P$12=0,0,P101/P$12)</f>
        <v>0.20609160241400862</v>
      </c>
      <c r="S101" s="4"/>
      <c r="T101" s="4">
        <v>34352</v>
      </c>
      <c r="U101" s="4"/>
      <c r="V101" s="12">
        <f>IF(T$12=0,0,T101/T$12)</f>
        <v>0.17684336245373256</v>
      </c>
      <c r="W101" s="4"/>
      <c r="X101" s="4">
        <f>+P101-T101</f>
        <v>-23920.080000000002</v>
      </c>
      <c r="Y101" s="4"/>
      <c r="Z101" s="12">
        <f>IF(T101=0,0,X101/T101)</f>
        <v>-0.69632277596646486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126</v>
      </c>
      <c r="C103" s="29"/>
      <c r="D103" s="34">
        <f>+D99-D101</f>
        <v>-43877.229999999996</v>
      </c>
      <c r="E103" s="14"/>
      <c r="F103" s="30">
        <f>IF(D$12=0,0,D103/D$12)</f>
        <v>-8.0036098778223241</v>
      </c>
      <c r="G103" s="14"/>
      <c r="H103" s="34">
        <f>+H99-H101</f>
        <v>-44366.508685092311</v>
      </c>
      <c r="I103" s="14"/>
      <c r="J103" s="30">
        <f>IF(H$12=0,0,H103/H$12)</f>
        <v>-1.4357628777415719</v>
      </c>
      <c r="K103" s="16"/>
      <c r="L103" s="34">
        <f>D103-H103</f>
        <v>489.27868509231484</v>
      </c>
      <c r="M103" s="16"/>
      <c r="N103" s="30">
        <f>IF(H103=0,0,L103/H103)</f>
        <v>-1.1028108805341235E-2</v>
      </c>
      <c r="O103" s="28"/>
      <c r="P103" s="34">
        <f>+P99-P101</f>
        <v>-523373.13000000006</v>
      </c>
      <c r="Q103" s="14"/>
      <c r="R103" s="30">
        <f>IF(P$12=0,0,P103/P$12)</f>
        <v>-10.339688860932146</v>
      </c>
      <c r="S103" s="14"/>
      <c r="T103" s="34">
        <f>+T99-T101</f>
        <v>-412450.68822303461</v>
      </c>
      <c r="U103" s="14"/>
      <c r="V103" s="30">
        <f>IF(T$12=0,0,T103/T$12)</f>
        <v>-2.1232873355763142</v>
      </c>
      <c r="W103" s="16"/>
      <c r="X103" s="34">
        <f>P103-T103</f>
        <v>-110922.44177696545</v>
      </c>
      <c r="Y103" s="16"/>
      <c r="Z103" s="30">
        <f>IF(T103=0,0,X103/T103)</f>
        <v>0.26893503864632573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294</v>
      </c>
      <c r="C106" s="29"/>
      <c r="D106" s="31">
        <f>SUM(D103:D105)</f>
        <v>-43877.229999999996</v>
      </c>
      <c r="E106" s="14"/>
      <c r="F106" s="35">
        <f>IF(D$12=0,0,D106/D$12)</f>
        <v>-8.0036098778223241</v>
      </c>
      <c r="G106" s="14"/>
      <c r="H106" s="31">
        <f>SUM(H103:H105)</f>
        <v>-44366.508685092311</v>
      </c>
      <c r="I106" s="14"/>
      <c r="J106" s="35">
        <f>IF(H$12=0,0,H106/H$12)</f>
        <v>-1.4357628777415719</v>
      </c>
      <c r="K106" s="16"/>
      <c r="L106" s="31">
        <f>+D106-H106</f>
        <v>489.27868509231484</v>
      </c>
      <c r="M106" s="16"/>
      <c r="N106" s="35">
        <f>IF(H106=0,0,L106/H106)</f>
        <v>-1.1028108805341235E-2</v>
      </c>
      <c r="O106" s="28"/>
      <c r="P106" s="31">
        <f>SUM(P103:P105)</f>
        <v>-523373.13000000006</v>
      </c>
      <c r="Q106" s="14"/>
      <c r="R106" s="35">
        <f>IF(P$12=0,0,P106/P$12)</f>
        <v>-10.339688860932146</v>
      </c>
      <c r="S106" s="14"/>
      <c r="T106" s="31">
        <f>SUM(T103:T105)</f>
        <v>-412450.68822303461</v>
      </c>
      <c r="U106" s="14"/>
      <c r="V106" s="35">
        <f>IF(T$12=0,0,T106/T$12)</f>
        <v>-2.1232873355763142</v>
      </c>
      <c r="W106" s="16"/>
      <c r="X106" s="31">
        <f>+P106-T106</f>
        <v>-110922.44177696545</v>
      </c>
      <c r="Y106" s="16"/>
      <c r="Z106" s="35">
        <f>IF(T106=0,0,X106/T106)</f>
        <v>0.26893503864632573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6">
        <v>44295.961797766206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3" t="s">
        <v>56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4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-301.68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-301.68</v>
      </c>
      <c r="M16" s="4"/>
      <c r="N16" s="12">
        <f t="shared" ref="N16:N18" si="9">IF(H16=0,0,L16/H16)</f>
        <v>0</v>
      </c>
      <c r="O16" s="10"/>
      <c r="P16" s="4">
        <f>SUM(OSRRefP16x_0)</f>
        <v>-301.68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-301.68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-301.68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-301.68</v>
      </c>
      <c r="M18" s="2"/>
      <c r="N18" s="19">
        <f t="shared" si="9"/>
        <v>0</v>
      </c>
      <c r="O18" s="11"/>
      <c r="P18" s="2">
        <v>-301.68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-301.68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108</v>
      </c>
      <c r="C20" s="29"/>
      <c r="D20" s="20">
        <f>D12-D16</f>
        <v>301.68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6"/>
      <c r="L20" s="20">
        <f>+D20-H20</f>
        <v>301.68</v>
      </c>
      <c r="M20" s="16"/>
      <c r="N20" s="21">
        <f>IF(H20=0,0,L20/H20)</f>
        <v>0</v>
      </c>
      <c r="O20" s="28"/>
      <c r="P20" s="20">
        <f>P12-P16</f>
        <v>301.68</v>
      </c>
      <c r="Q20" s="14"/>
      <c r="R20" s="21">
        <f>IF(P$12=0,0,P20/P$12)</f>
        <v>0</v>
      </c>
      <c r="S20" s="14"/>
      <c r="T20" s="20">
        <f>T12-T16</f>
        <v>0</v>
      </c>
      <c r="U20" s="14"/>
      <c r="V20" s="21">
        <f>IF(T$12=0,0,T20/T$12)</f>
        <v>0</v>
      </c>
      <c r="W20" s="16"/>
      <c r="X20" s="20">
        <f>+P20-T20</f>
        <v>301.68</v>
      </c>
      <c r="Y20" s="16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295</v>
      </c>
      <c r="C22" s="10"/>
      <c r="D22" s="22">
        <f>SUM(OSRRefD22x_0)</f>
        <v>6944.03</v>
      </c>
      <c r="E22" s="22"/>
      <c r="F22" s="32">
        <f t="shared" ref="F22:F31" si="14">IF(D$12=0,0,D22/D$12)</f>
        <v>0</v>
      </c>
      <c r="G22" s="22"/>
      <c r="H22" s="22">
        <f>SUM(OSRRefH22x_0)</f>
        <v>6745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199.02999999999975</v>
      </c>
      <c r="M22" s="4"/>
      <c r="N22" s="32">
        <f t="shared" ref="N22:N31" si="17">IF(H22=0,0,L22/H22)</f>
        <v>2.9507783543365418E-2</v>
      </c>
      <c r="O22" s="10"/>
      <c r="P22" s="22">
        <f>SUM(OSRRefP22x_0)</f>
        <v>74401.01999999999</v>
      </c>
      <c r="Q22" s="22"/>
      <c r="R22" s="32">
        <f t="shared" ref="R22:R31" si="18">IF(P$12=0,0,P22/P$12)</f>
        <v>0</v>
      </c>
      <c r="S22" s="22"/>
      <c r="T22" s="22">
        <f>SUM(OSRRefT22x_0)</f>
        <v>63804</v>
      </c>
      <c r="U22" s="22"/>
      <c r="V22" s="32">
        <f t="shared" ref="V22:V31" si="19">IF(T$12=0,0,T22/T$12)</f>
        <v>0</v>
      </c>
      <c r="W22" s="4"/>
      <c r="X22" s="22">
        <f t="shared" ref="X22:X31" si="20">+P22-T22</f>
        <v>10597.01999999999</v>
      </c>
      <c r="Y22" s="4"/>
      <c r="Z22" s="32">
        <f t="shared" ref="Z22:Z31" si="21">IF(T22=0,0,X22/T22)</f>
        <v>0.16608707917998855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6086.32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237.51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237.51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>
        <v>4780.67</v>
      </c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4780.67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>
        <v>678.15</v>
      </c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678.15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248.21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248.21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>
        <v>141.78</v>
      </c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141.78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2151.69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2151.69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2151.69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2151.69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6745.17</v>
      </c>
      <c r="E47" s="1"/>
      <c r="F47" s="5">
        <f t="shared" si="30"/>
        <v>0</v>
      </c>
      <c r="G47" s="1"/>
      <c r="H47" s="1">
        <f>SUM(OSRRefH22_4x_0)</f>
        <v>6745</v>
      </c>
      <c r="I47" s="1"/>
      <c r="J47" s="5">
        <f t="shared" si="31"/>
        <v>0</v>
      </c>
      <c r="K47" s="1"/>
      <c r="L47" s="1">
        <f t="shared" si="32"/>
        <v>0.17000000000007276</v>
      </c>
      <c r="M47" s="1"/>
      <c r="N47" s="5">
        <f t="shared" si="33"/>
        <v>2.5203854707201298E-5</v>
      </c>
      <c r="O47" s="13"/>
      <c r="P47" s="1">
        <f>SUM(OSRRefP22_4x_0)</f>
        <v>62003.68</v>
      </c>
      <c r="Q47" s="1"/>
      <c r="R47" s="5">
        <f t="shared" si="34"/>
        <v>0</v>
      </c>
      <c r="S47" s="1"/>
      <c r="T47" s="1">
        <f>SUM(OSRRefT22_4x_0)</f>
        <v>62004</v>
      </c>
      <c r="U47" s="1"/>
      <c r="V47" s="5">
        <f t="shared" si="35"/>
        <v>0</v>
      </c>
      <c r="W47" s="1"/>
      <c r="X47" s="1">
        <f t="shared" si="36"/>
        <v>-0.31999999999970896</v>
      </c>
      <c r="Y47" s="1"/>
      <c r="Z47" s="5">
        <f t="shared" si="37"/>
        <v>-5.1609573575851393E-6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7">
        <v>6537.05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6537.05</v>
      </c>
      <c r="M48" s="2"/>
      <c r="N48" s="6">
        <f t="shared" si="33"/>
        <v>0</v>
      </c>
      <c r="O48" s="11"/>
      <c r="P48" s="7">
        <v>58833.45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58833.45</v>
      </c>
      <c r="Y48" s="2"/>
      <c r="Z48" s="6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208.12</v>
      </c>
      <c r="E49" s="2"/>
      <c r="F49" s="6">
        <f t="shared" si="30"/>
        <v>0</v>
      </c>
      <c r="G49" s="2"/>
      <c r="H49" s="7">
        <v>6745</v>
      </c>
      <c r="I49" s="2"/>
      <c r="J49" s="6">
        <f t="shared" si="31"/>
        <v>0</v>
      </c>
      <c r="K49" s="2"/>
      <c r="L49" s="7">
        <f t="shared" si="32"/>
        <v>-6536.88</v>
      </c>
      <c r="M49" s="2"/>
      <c r="N49" s="6">
        <f t="shared" si="33"/>
        <v>-0.96914455151964418</v>
      </c>
      <c r="O49" s="11"/>
      <c r="P49" s="7">
        <v>3170.23</v>
      </c>
      <c r="Q49" s="2"/>
      <c r="R49" s="6">
        <f t="shared" si="34"/>
        <v>0</v>
      </c>
      <c r="S49" s="2"/>
      <c r="T49" s="7">
        <v>62004</v>
      </c>
      <c r="U49" s="2"/>
      <c r="V49" s="6">
        <f t="shared" si="35"/>
        <v>0</v>
      </c>
      <c r="W49" s="2"/>
      <c r="X49" s="7">
        <f t="shared" si="36"/>
        <v>-58833.77</v>
      </c>
      <c r="Y49" s="2"/>
      <c r="Z49" s="6">
        <f t="shared" si="37"/>
        <v>-0.94887055673827492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59" si="38">IF(D$12=0,0,D50/D$12)</f>
        <v>0</v>
      </c>
      <c r="G50" s="1"/>
      <c r="H50" s="1">
        <f>SUM(OSRRefH22_5x_0)</f>
        <v>0</v>
      </c>
      <c r="I50" s="1"/>
      <c r="J50" s="5">
        <f t="shared" ref="J50:J59" si="39">IF(H$12=0,0,H50/H$12)</f>
        <v>0</v>
      </c>
      <c r="K50" s="1"/>
      <c r="L50" s="1">
        <f t="shared" ref="L50:L59" si="40">+D50-H50</f>
        <v>0</v>
      </c>
      <c r="M50" s="1"/>
      <c r="N50" s="5">
        <f t="shared" ref="N50:N59" si="41">IF(H50=0,0,L50/H50)</f>
        <v>0</v>
      </c>
      <c r="O50" s="13"/>
      <c r="P50" s="1">
        <f>SUM(OSRRefP22_5x_0)</f>
        <v>0</v>
      </c>
      <c r="Q50" s="1"/>
      <c r="R50" s="5">
        <f t="shared" ref="R50:R59" si="42">IF(P$12=0,0,P50/P$12)</f>
        <v>0</v>
      </c>
      <c r="S50" s="1"/>
      <c r="T50" s="1">
        <f>SUM(OSRRefT22_5x_0)</f>
        <v>0</v>
      </c>
      <c r="U50" s="1"/>
      <c r="V50" s="5">
        <f t="shared" ref="V50:V59" si="43">IF(T$12=0,0,T50/T$12)</f>
        <v>0</v>
      </c>
      <c r="W50" s="1"/>
      <c r="X50" s="1">
        <f t="shared" ref="X50:X59" si="44">+P50-T50</f>
        <v>0</v>
      </c>
      <c r="Y50" s="1"/>
      <c r="Z50" s="5">
        <f t="shared" ref="Z50:Z59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>
        <v>0</v>
      </c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0</v>
      </c>
      <c r="I52" s="1"/>
      <c r="J52" s="5">
        <f t="shared" si="39"/>
        <v>0</v>
      </c>
      <c r="K52" s="1"/>
      <c r="L52" s="1">
        <f t="shared" si="40"/>
        <v>0</v>
      </c>
      <c r="M52" s="1"/>
      <c r="N52" s="5">
        <f t="shared" si="41"/>
        <v>0</v>
      </c>
      <c r="O52" s="13"/>
      <c r="P52" s="1">
        <f>SUM(OSRRefP22_6x_0)</f>
        <v>263.72000000000003</v>
      </c>
      <c r="Q52" s="1"/>
      <c r="R52" s="5">
        <f t="shared" si="42"/>
        <v>0</v>
      </c>
      <c r="S52" s="1"/>
      <c r="T52" s="1">
        <f>SUM(OSRRefT22_6x_0)</f>
        <v>0</v>
      </c>
      <c r="U52" s="1"/>
      <c r="V52" s="5">
        <f t="shared" si="43"/>
        <v>0</v>
      </c>
      <c r="W52" s="1"/>
      <c r="X52" s="1">
        <f t="shared" si="44"/>
        <v>263.72000000000003</v>
      </c>
      <c r="Y52" s="1"/>
      <c r="Z52" s="5">
        <f t="shared" si="45"/>
        <v>0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0</v>
      </c>
      <c r="M53" s="2"/>
      <c r="N53" s="6">
        <f t="shared" si="41"/>
        <v>0</v>
      </c>
      <c r="O53" s="11"/>
      <c r="P53" s="7">
        <v>263.72000000000003</v>
      </c>
      <c r="Q53" s="2"/>
      <c r="R53" s="6">
        <f t="shared" si="42"/>
        <v>0</v>
      </c>
      <c r="S53" s="2"/>
      <c r="T53" s="7"/>
      <c r="U53" s="2"/>
      <c r="V53" s="6">
        <f t="shared" si="43"/>
        <v>0</v>
      </c>
      <c r="W53" s="2"/>
      <c r="X53" s="7">
        <f t="shared" si="44"/>
        <v>263.72000000000003</v>
      </c>
      <c r="Y53" s="2"/>
      <c r="Z53" s="6">
        <f t="shared" si="45"/>
        <v>0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2969.55</v>
      </c>
      <c r="Q54" s="1"/>
      <c r="R54" s="5">
        <f t="shared" si="42"/>
        <v>0</v>
      </c>
      <c r="S54" s="1"/>
      <c r="T54" s="1">
        <f>SUM(OSRRefT22_7x_0)</f>
        <v>1800</v>
      </c>
      <c r="U54" s="1"/>
      <c r="V54" s="5">
        <f t="shared" si="43"/>
        <v>0</v>
      </c>
      <c r="W54" s="1"/>
      <c r="X54" s="1">
        <f t="shared" si="44"/>
        <v>1169.5500000000002</v>
      </c>
      <c r="Y54" s="1"/>
      <c r="Z54" s="5">
        <f t="shared" si="45"/>
        <v>0.64975000000000005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2969.55</v>
      </c>
      <c r="Q55" s="2"/>
      <c r="R55" s="6">
        <f t="shared" si="42"/>
        <v>0</v>
      </c>
      <c r="S55" s="2"/>
      <c r="T55" s="7">
        <v>1800</v>
      </c>
      <c r="U55" s="2"/>
      <c r="V55" s="6">
        <f t="shared" si="43"/>
        <v>0</v>
      </c>
      <c r="W55" s="2"/>
      <c r="X55" s="7">
        <f t="shared" si="44"/>
        <v>1169.5500000000002</v>
      </c>
      <c r="Y55" s="2"/>
      <c r="Z55" s="6">
        <f t="shared" si="45"/>
        <v>0.64975000000000005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SUM(OSRRefD22_8x_0)</f>
        <v>198.86</v>
      </c>
      <c r="E56" s="1"/>
      <c r="F56" s="5">
        <f t="shared" si="38"/>
        <v>0</v>
      </c>
      <c r="G56" s="1"/>
      <c r="H56" s="1">
        <f>SUM(OSRRefH22_8x_0)</f>
        <v>0</v>
      </c>
      <c r="I56" s="1"/>
      <c r="J56" s="5">
        <f t="shared" si="39"/>
        <v>0</v>
      </c>
      <c r="K56" s="1"/>
      <c r="L56" s="1">
        <f t="shared" si="40"/>
        <v>198.86</v>
      </c>
      <c r="M56" s="1"/>
      <c r="N56" s="5">
        <f t="shared" si="41"/>
        <v>0</v>
      </c>
      <c r="O56" s="13"/>
      <c r="P56" s="1">
        <f>SUM(OSRRefP22_8x_0)</f>
        <v>675.19</v>
      </c>
      <c r="Q56" s="1"/>
      <c r="R56" s="5">
        <f t="shared" si="42"/>
        <v>0</v>
      </c>
      <c r="S56" s="1"/>
      <c r="T56" s="1">
        <f>SUM(OSRRefT22_8x_0)</f>
        <v>0</v>
      </c>
      <c r="U56" s="1"/>
      <c r="V56" s="5">
        <f t="shared" si="43"/>
        <v>0</v>
      </c>
      <c r="W56" s="1"/>
      <c r="X56" s="1">
        <f t="shared" si="44"/>
        <v>675.19</v>
      </c>
      <c r="Y56" s="1"/>
      <c r="Z56" s="5">
        <f t="shared" si="45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0</v>
      </c>
      <c r="Y57" s="2"/>
      <c r="Z57" s="6">
        <f t="shared" si="45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198.86</v>
      </c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198.86</v>
      </c>
      <c r="M58" s="2"/>
      <c r="N58" s="6">
        <f t="shared" si="41"/>
        <v>0</v>
      </c>
      <c r="O58" s="11"/>
      <c r="P58" s="7">
        <v>675.19</v>
      </c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675.19</v>
      </c>
      <c r="Y58" s="2"/>
      <c r="Z58" s="6">
        <f t="shared" si="45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/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0</v>
      </c>
      <c r="Y59" s="2"/>
      <c r="Z59" s="6">
        <f t="shared" si="45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46">IF(D$12=0,0,D60/D$12)</f>
        <v>0</v>
      </c>
      <c r="G60" s="1"/>
      <c r="H60" s="1">
        <f>SUM(OSRRefH22_9x_0)</f>
        <v>0</v>
      </c>
      <c r="I60" s="1"/>
      <c r="J60" s="5">
        <f t="shared" ref="J60:J62" si="47">IF(H$12=0,0,H60/H$12)</f>
        <v>0</v>
      </c>
      <c r="K60" s="1"/>
      <c r="L60" s="1">
        <f t="shared" ref="L60:L62" si="48">+D60-H60</f>
        <v>0</v>
      </c>
      <c r="M60" s="1"/>
      <c r="N60" s="5">
        <f t="shared" ref="N60:N62" si="49">IF(H60=0,0,L60/H60)</f>
        <v>0</v>
      </c>
      <c r="O60" s="13"/>
      <c r="P60" s="1">
        <f>SUM(OSRRefP22_9x_0)</f>
        <v>0</v>
      </c>
      <c r="Q60" s="1"/>
      <c r="R60" s="5">
        <f t="shared" ref="R60:R62" si="50">IF(P$12=0,0,P60/P$12)</f>
        <v>0</v>
      </c>
      <c r="S60" s="1"/>
      <c r="T60" s="1">
        <f>SUM(OSRRefT22_9x_0)</f>
        <v>0</v>
      </c>
      <c r="U60" s="1"/>
      <c r="V60" s="5">
        <f t="shared" ref="V60:V62" si="51">IF(T$12=0,0,T60/T$12)</f>
        <v>0</v>
      </c>
      <c r="W60" s="1"/>
      <c r="X60" s="1">
        <f t="shared" ref="X60:X62" si="52">+P60-T60</f>
        <v>0</v>
      </c>
      <c r="Y60" s="1"/>
      <c r="Z60" s="5">
        <f t="shared" ref="Z60:Z62" si="53">IF(T60=0,0,X60/T60)</f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5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5" si="54">IF(D$12=0,0,D63/D$12)</f>
        <v>0</v>
      </c>
      <c r="G63" s="1"/>
      <c r="H63" s="1">
        <f>SUM(OSRRefH22_10x_0)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3"/>
      <c r="P63" s="1">
        <f>SUM(OSRRefP22_10x_0)</f>
        <v>0</v>
      </c>
      <c r="Q63" s="1"/>
      <c r="R63" s="5">
        <f t="shared" ref="R63:R65" si="58">IF(P$12=0,0,P63/P$12)</f>
        <v>0</v>
      </c>
      <c r="S63" s="1"/>
      <c r="T63" s="1">
        <f>SUM(OSRRefT22_10x_0)</f>
        <v>0</v>
      </c>
      <c r="U63" s="1"/>
      <c r="V63" s="5">
        <f t="shared" ref="V63:V65" si="59">IF(T$12=0,0,T63/T$12)</f>
        <v>0</v>
      </c>
      <c r="W63" s="1"/>
      <c r="X63" s="1">
        <f t="shared" ref="X63:X65" si="60">+P63-T63</f>
        <v>0</v>
      </c>
      <c r="Y63" s="1"/>
      <c r="Z63" s="5">
        <f t="shared" ref="Z63:Z65" si="61">IF(T63=0,0,X63/T63)</f>
        <v>0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54"/>
        <v>0</v>
      </c>
      <c r="G64" s="2"/>
      <c r="H64" s="7"/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54"/>
        <v>0</v>
      </c>
      <c r="G65" s="2"/>
      <c r="H65" s="7">
        <v>0</v>
      </c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0</v>
      </c>
      <c r="U65" s="2"/>
      <c r="V65" s="6">
        <f t="shared" si="59"/>
        <v>0</v>
      </c>
      <c r="W65" s="2"/>
      <c r="X65" s="7">
        <f t="shared" si="60"/>
        <v>0</v>
      </c>
      <c r="Y65" s="2"/>
      <c r="Z65" s="6">
        <f t="shared" si="61"/>
        <v>0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SUM(OSRRefD22_11x_0)</f>
        <v>0</v>
      </c>
      <c r="E66" s="1"/>
      <c r="F66" s="5">
        <f t="shared" ref="F66:F76" si="62">IF(D$12=0,0,D66/D$12)</f>
        <v>0</v>
      </c>
      <c r="G66" s="1"/>
      <c r="H66" s="1">
        <f>SUM(OSRRefH22_11x_0)</f>
        <v>0</v>
      </c>
      <c r="I66" s="1"/>
      <c r="J66" s="5">
        <f t="shared" ref="J66:J76" si="63">IF(H$12=0,0,H66/H$12)</f>
        <v>0</v>
      </c>
      <c r="K66" s="1"/>
      <c r="L66" s="1">
        <f t="shared" ref="L66:L76" si="64">+D66-H66</f>
        <v>0</v>
      </c>
      <c r="M66" s="1"/>
      <c r="N66" s="5">
        <f t="shared" ref="N66:N76" si="65">IF(H66=0,0,L66/H66)</f>
        <v>0</v>
      </c>
      <c r="O66" s="13"/>
      <c r="P66" s="1">
        <f>SUM(OSRRefP22_11x_0)</f>
        <v>0</v>
      </c>
      <c r="Q66" s="1"/>
      <c r="R66" s="5">
        <f t="shared" ref="R66:R76" si="66">IF(P$12=0,0,P66/P$12)</f>
        <v>0</v>
      </c>
      <c r="S66" s="1"/>
      <c r="T66" s="1">
        <f>SUM(OSRRefT22_11x_0)</f>
        <v>0</v>
      </c>
      <c r="U66" s="1"/>
      <c r="V66" s="5">
        <f t="shared" ref="V66:V76" si="67">IF(T$12=0,0,T66/T$12)</f>
        <v>0</v>
      </c>
      <c r="W66" s="1"/>
      <c r="X66" s="1">
        <f t="shared" ref="X66:X76" si="68">+P66-T66</f>
        <v>0</v>
      </c>
      <c r="Y66" s="1"/>
      <c r="Z66" s="5">
        <f t="shared" ref="Z66:Z76" si="69">IF(T66=0,0,X66/T66)</f>
        <v>0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7"/>
      <c r="E67" s="2"/>
      <c r="F67" s="6">
        <f t="shared" si="62"/>
        <v>0</v>
      </c>
      <c r="G67" s="2"/>
      <c r="H67" s="7"/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25">
      <c r="A68" s="26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62"/>
        <v>0</v>
      </c>
      <c r="G69" s="2"/>
      <c r="H69" s="7">
        <v>0</v>
      </c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62"/>
        <v>0</v>
      </c>
      <c r="G70" s="2"/>
      <c r="H70" s="7"/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25">
      <c r="A73" s="26"/>
      <c r="B73" s="11" t="str">
        <f>CONCATENATE("          ", "6244", " - ", "SAFETY SUPPLY EXPENSE")</f>
        <v xml:space="preserve">          6244 - SAFETY SUPPLY EXPENSE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25">
      <c r="A74" s="26"/>
      <c r="B74" s="11" t="str">
        <f>CONCATENATE("          ", "6245", " - ", "PRINTING")</f>
        <v xml:space="preserve">          6245 - PRINTING</v>
      </c>
      <c r="C74" s="11"/>
      <c r="D74" s="7"/>
      <c r="E74" s="2"/>
      <c r="F74" s="6">
        <f t="shared" si="62"/>
        <v>0</v>
      </c>
      <c r="G74" s="2"/>
      <c r="H74" s="7">
        <v>0</v>
      </c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25">
      <c r="A75" s="26"/>
      <c r="B75" s="11" t="str">
        <f>CONCATENATE("          ", "6246", " - ", "REPLACEMENTS")</f>
        <v xml:space="preserve">          6246 - REPLACEMENTS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0</v>
      </c>
      <c r="E77" s="1"/>
      <c r="F77" s="5">
        <f t="shared" ref="F77:F79" si="70">IF(D$12=0,0,D77/D$12)</f>
        <v>0</v>
      </c>
      <c r="G77" s="1"/>
      <c r="H77" s="1">
        <f>SUM(OSRRefH22_12x_0)</f>
        <v>0</v>
      </c>
      <c r="I77" s="1"/>
      <c r="J77" s="5">
        <f t="shared" ref="J77:J79" si="71">IF(H$12=0,0,H77/H$12)</f>
        <v>0</v>
      </c>
      <c r="K77" s="1"/>
      <c r="L77" s="1">
        <f t="shared" ref="L77:L79" si="72">+D77-H77</f>
        <v>0</v>
      </c>
      <c r="M77" s="1"/>
      <c r="N77" s="5">
        <f t="shared" ref="N77:N79" si="73">IF(H77=0,0,L77/H77)</f>
        <v>0</v>
      </c>
      <c r="O77" s="13"/>
      <c r="P77" s="1">
        <f>SUM(OSRRefP22_12x_0)</f>
        <v>250.87</v>
      </c>
      <c r="Q77" s="1"/>
      <c r="R77" s="5">
        <f t="shared" ref="R77:R79" si="74">IF(P$12=0,0,P77/P$12)</f>
        <v>0</v>
      </c>
      <c r="S77" s="1"/>
      <c r="T77" s="1">
        <f>SUM(OSRRefT22_12x_0)</f>
        <v>0</v>
      </c>
      <c r="U77" s="1"/>
      <c r="V77" s="5">
        <f t="shared" ref="V77:V79" si="75">IF(T$12=0,0,T77/T$12)</f>
        <v>0</v>
      </c>
      <c r="W77" s="1"/>
      <c r="X77" s="1">
        <f t="shared" ref="X77:X79" si="76">+P77-T77</f>
        <v>250.87</v>
      </c>
      <c r="Y77" s="1"/>
      <c r="Z77" s="5">
        <f t="shared" ref="Z77:Z79" si="77">IF(T77=0,0,X77/T77)</f>
        <v>0</v>
      </c>
    </row>
    <row r="78" spans="1:26" s="24" customFormat="1" hidden="1" outlineLevel="2" x14ac:dyDescent="0.25">
      <c r="A78" s="26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70"/>
        <v>0</v>
      </c>
      <c r="G78" s="2"/>
      <c r="H78" s="7">
        <v>0</v>
      </c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/>
      <c r="Q78" s="2"/>
      <c r="R78" s="6">
        <f t="shared" si="74"/>
        <v>0</v>
      </c>
      <c r="S78" s="2"/>
      <c r="T78" s="7">
        <v>0</v>
      </c>
      <c r="U78" s="2"/>
      <c r="V78" s="6">
        <f t="shared" si="75"/>
        <v>0</v>
      </c>
      <c r="W78" s="2"/>
      <c r="X78" s="7">
        <f t="shared" si="76"/>
        <v>0</v>
      </c>
      <c r="Y78" s="2"/>
      <c r="Z78" s="6">
        <f t="shared" si="77"/>
        <v>0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/>
      <c r="E79" s="2"/>
      <c r="F79" s="6">
        <f t="shared" si="70"/>
        <v>0</v>
      </c>
      <c r="G79" s="2"/>
      <c r="H79" s="7"/>
      <c r="I79" s="2"/>
      <c r="J79" s="6">
        <f t="shared" si="71"/>
        <v>0</v>
      </c>
      <c r="K79" s="2"/>
      <c r="L79" s="7">
        <f t="shared" si="72"/>
        <v>0</v>
      </c>
      <c r="M79" s="2"/>
      <c r="N79" s="6">
        <f t="shared" si="73"/>
        <v>0</v>
      </c>
      <c r="O79" s="11"/>
      <c r="P79" s="7">
        <v>250.87</v>
      </c>
      <c r="Q79" s="2"/>
      <c r="R79" s="6">
        <f t="shared" si="74"/>
        <v>0</v>
      </c>
      <c r="S79" s="2"/>
      <c r="T79" s="7"/>
      <c r="U79" s="2"/>
      <c r="V79" s="6">
        <f t="shared" si="75"/>
        <v>0</v>
      </c>
      <c r="W79" s="2"/>
      <c r="X79" s="7">
        <f t="shared" si="76"/>
        <v>250.87</v>
      </c>
      <c r="Y79" s="2"/>
      <c r="Z79" s="6">
        <f t="shared" si="77"/>
        <v>0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78">IF(D$12=0,0,D80/D$12)</f>
        <v>0</v>
      </c>
      <c r="G80" s="1"/>
      <c r="H80" s="1">
        <f>SUM(OSRRefH22_13x_0)</f>
        <v>0</v>
      </c>
      <c r="I80" s="1"/>
      <c r="J80" s="5">
        <f t="shared" ref="J80:J81" si="79">IF(H$12=0,0,H80/H$12)</f>
        <v>0</v>
      </c>
      <c r="K80" s="1"/>
      <c r="L80" s="1">
        <f t="shared" ref="L80:L81" si="80">+D80-H80</f>
        <v>0</v>
      </c>
      <c r="M80" s="1"/>
      <c r="N80" s="5">
        <f t="shared" ref="N80:N81" si="81">IF(H80=0,0,L80/H80)</f>
        <v>0</v>
      </c>
      <c r="O80" s="13"/>
      <c r="P80" s="1">
        <f>SUM(OSRRefP22_13x_0)</f>
        <v>0</v>
      </c>
      <c r="Q80" s="1"/>
      <c r="R80" s="5">
        <f t="shared" ref="R80:R81" si="82">IF(P$12=0,0,P80/P$12)</f>
        <v>0</v>
      </c>
      <c r="S80" s="1"/>
      <c r="T80" s="1">
        <f>SUM(OSRRefT22_13x_0)</f>
        <v>0</v>
      </c>
      <c r="U80" s="1"/>
      <c r="V80" s="5">
        <f t="shared" ref="V80:V81" si="83">IF(T$12=0,0,T80/T$12)</f>
        <v>0</v>
      </c>
      <c r="W80" s="1"/>
      <c r="X80" s="1">
        <f t="shared" ref="X80:X81" si="84">+P80-T80</f>
        <v>0</v>
      </c>
      <c r="Y80" s="1"/>
      <c r="Z80" s="5">
        <f t="shared" ref="Z80:Z81" si="85">IF(T80=0,0,X80/T80)</f>
        <v>0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8"/>
        <v>0</v>
      </c>
      <c r="G81" s="2"/>
      <c r="H81" s="7">
        <v>0</v>
      </c>
      <c r="I81" s="2"/>
      <c r="J81" s="6">
        <f t="shared" si="79"/>
        <v>0</v>
      </c>
      <c r="K81" s="2"/>
      <c r="L81" s="7">
        <f t="shared" si="80"/>
        <v>0</v>
      </c>
      <c r="M81" s="2"/>
      <c r="N81" s="6">
        <f t="shared" si="81"/>
        <v>0</v>
      </c>
      <c r="O81" s="11"/>
      <c r="P81" s="7"/>
      <c r="Q81" s="2"/>
      <c r="R81" s="6">
        <f t="shared" si="82"/>
        <v>0</v>
      </c>
      <c r="S81" s="2"/>
      <c r="T81" s="7">
        <v>0</v>
      </c>
      <c r="U81" s="2"/>
      <c r="V81" s="6">
        <f t="shared" si="83"/>
        <v>0</v>
      </c>
      <c r="W81" s="2"/>
      <c r="X81" s="7">
        <f t="shared" si="84"/>
        <v>0</v>
      </c>
      <c r="Y81" s="2"/>
      <c r="Z81" s="6">
        <f t="shared" si="85"/>
        <v>0</v>
      </c>
    </row>
    <row r="82" spans="1:26" s="59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8" t="s">
        <v>293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/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/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277</v>
      </c>
      <c r="C86" s="29"/>
      <c r="D86" s="20">
        <f>+D20-D22+D83</f>
        <v>-6642.3499999999995</v>
      </c>
      <c r="E86" s="14"/>
      <c r="F86" s="21">
        <f>IF(D$12=0,0,D86/D$12)</f>
        <v>0</v>
      </c>
      <c r="G86" s="14"/>
      <c r="H86" s="20">
        <f>+H20-H22+H83</f>
        <v>-6745</v>
      </c>
      <c r="I86" s="14"/>
      <c r="J86" s="21">
        <f>IF(H$12=0,0,H86/H$12)</f>
        <v>0</v>
      </c>
      <c r="K86" s="16"/>
      <c r="L86" s="20">
        <f>+D86-H86</f>
        <v>102.65000000000055</v>
      </c>
      <c r="M86" s="16"/>
      <c r="N86" s="21">
        <f>IF(H86=0,0,L86/H86)</f>
        <v>-1.5218680504077176E-2</v>
      </c>
      <c r="O86" s="28"/>
      <c r="P86" s="20">
        <f>+P20-P22+P83</f>
        <v>-73987.92</v>
      </c>
      <c r="Q86" s="14"/>
      <c r="R86" s="21">
        <f>IF(P$12=0,0,P86/P$12)</f>
        <v>0</v>
      </c>
      <c r="S86" s="14"/>
      <c r="T86" s="20">
        <f>+T20-T22+T83</f>
        <v>-63804</v>
      </c>
      <c r="U86" s="14"/>
      <c r="V86" s="21">
        <f>IF(T$12=0,0,T86/T$12)</f>
        <v>0</v>
      </c>
      <c r="W86" s="16"/>
      <c r="X86" s="20">
        <f>+P86-T86</f>
        <v>-10183.919999999998</v>
      </c>
      <c r="Y86" s="16"/>
      <c r="Z86" s="21">
        <f>IF(T86=0,0,X86/T86)</f>
        <v>0.15961256347564412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126</v>
      </c>
      <c r="C90" s="29"/>
      <c r="D90" s="34">
        <f>+D86-D88</f>
        <v>-6642.3499999999995</v>
      </c>
      <c r="E90" s="14"/>
      <c r="F90" s="30">
        <f>IF(D$12=0,0,D90/D$12)</f>
        <v>0</v>
      </c>
      <c r="G90" s="14"/>
      <c r="H90" s="34">
        <f>+H86-H88</f>
        <v>-6745</v>
      </c>
      <c r="I90" s="14"/>
      <c r="J90" s="30">
        <f>IF(H$12=0,0,H90/H$12)</f>
        <v>0</v>
      </c>
      <c r="K90" s="16"/>
      <c r="L90" s="34">
        <f>D90-H90</f>
        <v>102.65000000000055</v>
      </c>
      <c r="M90" s="16"/>
      <c r="N90" s="30">
        <f>IF(H90=0,0,L90/H90)</f>
        <v>-1.5218680504077176E-2</v>
      </c>
      <c r="O90" s="28"/>
      <c r="P90" s="34">
        <f>+P86-P88</f>
        <v>-73987.92</v>
      </c>
      <c r="Q90" s="14"/>
      <c r="R90" s="30">
        <f>IF(P$12=0,0,P90/P$12)</f>
        <v>0</v>
      </c>
      <c r="S90" s="14"/>
      <c r="T90" s="34">
        <f>+T86-T88</f>
        <v>-63804</v>
      </c>
      <c r="U90" s="14"/>
      <c r="V90" s="30">
        <f>IF(T$12=0,0,T90/T$12)</f>
        <v>0</v>
      </c>
      <c r="W90" s="16"/>
      <c r="X90" s="34">
        <f>P90-T90</f>
        <v>-10183.919999999998</v>
      </c>
      <c r="Y90" s="16"/>
      <c r="Z90" s="30">
        <f>IF(T90=0,0,X90/T90)</f>
        <v>0.15961256347564412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294</v>
      </c>
      <c r="C93" s="29"/>
      <c r="D93" s="31">
        <f>SUM(D90:D92)</f>
        <v>-6642.3499999999995</v>
      </c>
      <c r="E93" s="14"/>
      <c r="F93" s="35">
        <f>IF(D$12=0,0,D93/D$12)</f>
        <v>0</v>
      </c>
      <c r="G93" s="14"/>
      <c r="H93" s="31">
        <f>SUM(H90:H92)</f>
        <v>-6745</v>
      </c>
      <c r="I93" s="14"/>
      <c r="J93" s="35">
        <f>IF(H$12=0,0,H93/H$12)</f>
        <v>0</v>
      </c>
      <c r="K93" s="16"/>
      <c r="L93" s="31">
        <f>+D93-H93</f>
        <v>102.65000000000055</v>
      </c>
      <c r="M93" s="16"/>
      <c r="N93" s="35">
        <f>IF(H93=0,0,L93/H93)</f>
        <v>-1.5218680504077176E-2</v>
      </c>
      <c r="O93" s="28"/>
      <c r="P93" s="31">
        <f>SUM(P90:P92)</f>
        <v>-73987.92</v>
      </c>
      <c r="Q93" s="14"/>
      <c r="R93" s="35">
        <f>IF(P$12=0,0,P93/P$12)</f>
        <v>0</v>
      </c>
      <c r="S93" s="14"/>
      <c r="T93" s="31">
        <f>SUM(T90:T92)</f>
        <v>-63804</v>
      </c>
      <c r="U93" s="14"/>
      <c r="V93" s="35">
        <f>IF(T$12=0,0,T93/T$12)</f>
        <v>0</v>
      </c>
      <c r="W93" s="16"/>
      <c r="X93" s="31">
        <f>+P93-T93</f>
        <v>-10183.919999999998</v>
      </c>
      <c r="Y93" s="16"/>
      <c r="Z93" s="35">
        <f>IF(T93=0,0,X93/T93)</f>
        <v>0.15961256347564412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44295.961797766206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3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51782.31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51782.31</v>
      </c>
      <c r="M12" s="4"/>
      <c r="N12" s="12">
        <f t="shared" ref="N12:N13" si="1">IF(H12=0,0,L12/H12)</f>
        <v>0</v>
      </c>
      <c r="O12" s="10"/>
      <c r="P12" s="4">
        <f>SUM(OSRRefP13x_0)</f>
        <v>331940.11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331940.11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--51782.31</f>
        <v>51782.31</v>
      </c>
      <c r="E13" s="2"/>
      <c r="F13" s="19"/>
      <c r="G13" s="2"/>
      <c r="H13" s="2"/>
      <c r="I13" s="2"/>
      <c r="J13" s="19"/>
      <c r="K13" s="2"/>
      <c r="L13" s="2">
        <f t="shared" si="0"/>
        <v>51782.31</v>
      </c>
      <c r="M13" s="2"/>
      <c r="N13" s="19">
        <f t="shared" si="1"/>
        <v>0</v>
      </c>
      <c r="O13" s="11"/>
      <c r="P13" s="2">
        <f>--331940.11</f>
        <v>331940.11</v>
      </c>
      <c r="Q13" s="2"/>
      <c r="R13" s="19"/>
      <c r="S13" s="2"/>
      <c r="T13" s="2"/>
      <c r="U13" s="2"/>
      <c r="V13" s="19"/>
      <c r="W13" s="2"/>
      <c r="X13" s="2">
        <f t="shared" si="2"/>
        <v>331940.11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51782.31</v>
      </c>
      <c r="E17" s="14"/>
      <c r="F17" s="21">
        <f>IF(D$12=0,0,D17/D$12)</f>
        <v>1</v>
      </c>
      <c r="G17" s="14"/>
      <c r="H17" s="20">
        <f>H12-H15</f>
        <v>0</v>
      </c>
      <c r="I17" s="14"/>
      <c r="J17" s="21">
        <f>IF(H$12=0,0,H17/H$12)</f>
        <v>0</v>
      </c>
      <c r="K17" s="16"/>
      <c r="L17" s="20">
        <f>+D17-H17</f>
        <v>51782.31</v>
      </c>
      <c r="M17" s="16"/>
      <c r="N17" s="21">
        <f>IF(H17=0,0,L17/H17)</f>
        <v>0</v>
      </c>
      <c r="O17" s="28"/>
      <c r="P17" s="20">
        <f>P12-P15</f>
        <v>331940.11</v>
      </c>
      <c r="Q17" s="14"/>
      <c r="R17" s="21">
        <f>IF(P$12=0,0,P17/P$12)</f>
        <v>1</v>
      </c>
      <c r="S17" s="14"/>
      <c r="T17" s="20">
        <f>T12-T15</f>
        <v>0</v>
      </c>
      <c r="U17" s="14"/>
      <c r="V17" s="21">
        <f>IF(T$12=0,0,T17/T$12)</f>
        <v>0</v>
      </c>
      <c r="W17" s="16"/>
      <c r="X17" s="20">
        <f>+P17-T17</f>
        <v>331940.11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341.22</v>
      </c>
      <c r="E19" s="22"/>
      <c r="F19" s="32">
        <f t="shared" ref="F19:F23" si="4">IF(D$12=0,0,D19/D$12)</f>
        <v>6.5895090427599704E-3</v>
      </c>
      <c r="G19" s="22"/>
      <c r="H19" s="22">
        <f>SUM(OSRRefH22x_0)</f>
        <v>0</v>
      </c>
      <c r="I19" s="22"/>
      <c r="J19" s="32">
        <f t="shared" ref="J19:J23" si="5">IF(H$12=0,0,H19/H$12)</f>
        <v>0</v>
      </c>
      <c r="K19" s="4"/>
      <c r="L19" s="22">
        <f t="shared" ref="L19:L23" si="6">+D19-H19</f>
        <v>341.22</v>
      </c>
      <c r="M19" s="4"/>
      <c r="N19" s="32">
        <f t="shared" ref="N19:N23" si="7">IF(H19=0,0,L19/H19)</f>
        <v>0</v>
      </c>
      <c r="O19" s="10"/>
      <c r="P19" s="22">
        <f>SUM(OSRRefP22x_0)</f>
        <v>349.08000000000004</v>
      </c>
      <c r="Q19" s="22"/>
      <c r="R19" s="32">
        <f t="shared" ref="R19:R23" si="8">IF(P$12=0,0,P19/P$12)</f>
        <v>1.051635489305586E-3</v>
      </c>
      <c r="S19" s="22"/>
      <c r="T19" s="22">
        <f>SUM(OSRRefT22x_0)</f>
        <v>0</v>
      </c>
      <c r="U19" s="22"/>
      <c r="V19" s="32">
        <f t="shared" ref="V19:V23" si="9">IF(T$12=0,0,T19/T$12)</f>
        <v>0</v>
      </c>
      <c r="W19" s="4"/>
      <c r="X19" s="22">
        <f t="shared" ref="X19:X23" si="10">+P19-T19</f>
        <v>349.08000000000004</v>
      </c>
      <c r="Y19" s="4"/>
      <c r="Z19" s="32">
        <f t="shared" ref="Z19:Z23" si="11">IF(T19=0,0,X19/T19)</f>
        <v>0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3"/>
      <c r="P20" s="1">
        <f>SUM(OSRRefP22_0x_0)</f>
        <v>7.86</v>
      </c>
      <c r="Q20" s="1"/>
      <c r="R20" s="5">
        <f t="shared" si="8"/>
        <v>2.3678970281717388E-5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7.86</v>
      </c>
      <c r="Y20" s="1"/>
      <c r="Z20" s="5">
        <f t="shared" si="11"/>
        <v>0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>
        <v>7.86</v>
      </c>
      <c r="Q21" s="2"/>
      <c r="R21" s="6">
        <f t="shared" si="8"/>
        <v>2.3678970281717388E-5</v>
      </c>
      <c r="S21" s="2"/>
      <c r="T21" s="7"/>
      <c r="U21" s="2"/>
      <c r="V21" s="6">
        <f t="shared" si="9"/>
        <v>0</v>
      </c>
      <c r="W21" s="2"/>
      <c r="X21" s="7">
        <f t="shared" si="10"/>
        <v>7.86</v>
      </c>
      <c r="Y21" s="2"/>
      <c r="Z21" s="6">
        <f t="shared" si="11"/>
        <v>0</v>
      </c>
    </row>
    <row r="22" spans="1:26" s="25" customFormat="1" outlineLevel="1" collapsed="1" x14ac:dyDescent="0.25">
      <c r="A22" s="27"/>
      <c r="B22" s="13" t="str">
        <f>CONCATENATE("     ","Repair and Maintenance                            ")</f>
        <v xml:space="preserve">     Repair and Maintenance                            </v>
      </c>
      <c r="C22" s="13"/>
      <c r="D22" s="1">
        <f>SUM(OSRRefD22_1x_0)</f>
        <v>341.22</v>
      </c>
      <c r="E22" s="1"/>
      <c r="F22" s="5">
        <f t="shared" si="4"/>
        <v>6.5895090427599704E-3</v>
      </c>
      <c r="G22" s="1"/>
      <c r="H22" s="1">
        <f>SUM(OSRRefH22_1x_0)</f>
        <v>0</v>
      </c>
      <c r="I22" s="1"/>
      <c r="J22" s="5">
        <f t="shared" si="5"/>
        <v>0</v>
      </c>
      <c r="K22" s="1"/>
      <c r="L22" s="1">
        <f t="shared" si="6"/>
        <v>341.22</v>
      </c>
      <c r="M22" s="1"/>
      <c r="N22" s="5">
        <f t="shared" si="7"/>
        <v>0</v>
      </c>
      <c r="O22" s="13"/>
      <c r="P22" s="1">
        <f>SUM(OSRRefP22_1x_0)</f>
        <v>341.22</v>
      </c>
      <c r="Q22" s="1"/>
      <c r="R22" s="5">
        <f t="shared" si="8"/>
        <v>1.0279565190238686E-3</v>
      </c>
      <c r="S22" s="1"/>
      <c r="T22" s="1">
        <f>SUM(OSRRefT22_1x_0)</f>
        <v>0</v>
      </c>
      <c r="U22" s="1"/>
      <c r="V22" s="5">
        <f t="shared" si="9"/>
        <v>0</v>
      </c>
      <c r="W22" s="1"/>
      <c r="X22" s="1">
        <f t="shared" si="10"/>
        <v>341.22</v>
      </c>
      <c r="Y22" s="1"/>
      <c r="Z22" s="5">
        <f t="shared" si="11"/>
        <v>0</v>
      </c>
    </row>
    <row r="23" spans="1:26" s="24" customFormat="1" hidden="1" outlineLevel="2" x14ac:dyDescent="0.25">
      <c r="A23" s="26"/>
      <c r="B23" s="11" t="str">
        <f>CONCATENATE("          ", "6375", " - ", "OUTSIDE REPAIRS &amp; MAINTENANCE")</f>
        <v xml:space="preserve">          6375 - OUTSIDE REPAIRS &amp; MAINTENANCE</v>
      </c>
      <c r="C23" s="11"/>
      <c r="D23" s="7">
        <v>341.22</v>
      </c>
      <c r="E23" s="2"/>
      <c r="F23" s="6">
        <f t="shared" si="4"/>
        <v>6.5895090427599704E-3</v>
      </c>
      <c r="G23" s="2"/>
      <c r="H23" s="7"/>
      <c r="I23" s="2"/>
      <c r="J23" s="6">
        <f t="shared" si="5"/>
        <v>0</v>
      </c>
      <c r="K23" s="2"/>
      <c r="L23" s="7">
        <f t="shared" si="6"/>
        <v>341.22</v>
      </c>
      <c r="M23" s="2"/>
      <c r="N23" s="6">
        <f t="shared" si="7"/>
        <v>0</v>
      </c>
      <c r="O23" s="11"/>
      <c r="P23" s="7">
        <v>341.22</v>
      </c>
      <c r="Q23" s="2"/>
      <c r="R23" s="6">
        <f t="shared" si="8"/>
        <v>1.0279565190238686E-3</v>
      </c>
      <c r="S23" s="2"/>
      <c r="T23" s="7"/>
      <c r="U23" s="2"/>
      <c r="V23" s="6">
        <f t="shared" si="9"/>
        <v>0</v>
      </c>
      <c r="W23" s="2"/>
      <c r="X23" s="7">
        <f t="shared" si="10"/>
        <v>341.22</v>
      </c>
      <c r="Y23" s="2"/>
      <c r="Z23" s="6">
        <f t="shared" si="11"/>
        <v>0</v>
      </c>
    </row>
    <row r="24" spans="1:26" s="59" customFormat="1" x14ac:dyDescent="0.25">
      <c r="A24" s="36"/>
      <c r="B24" s="36"/>
      <c r="C24" s="36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293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>
        <f>+D17-D19+D25</f>
        <v>51441.09</v>
      </c>
      <c r="E27" s="14"/>
      <c r="F27" s="21">
        <f>IF(D$12=0,0,D27/D$12)</f>
        <v>0.99341049095723999</v>
      </c>
      <c r="G27" s="14"/>
      <c r="H27" s="20">
        <f>+H17-H19+H25</f>
        <v>0</v>
      </c>
      <c r="I27" s="14"/>
      <c r="J27" s="21">
        <f>IF(H$12=0,0,H27/H$12)</f>
        <v>0</v>
      </c>
      <c r="K27" s="16"/>
      <c r="L27" s="20">
        <f>+D27-H27</f>
        <v>51441.09</v>
      </c>
      <c r="M27" s="16"/>
      <c r="N27" s="21">
        <f>IF(H27=0,0,L27/H27)</f>
        <v>0</v>
      </c>
      <c r="O27" s="28"/>
      <c r="P27" s="20">
        <f>+P17-P19+P25</f>
        <v>331591.02999999997</v>
      </c>
      <c r="Q27" s="14"/>
      <c r="R27" s="21">
        <f>IF(P$12=0,0,P27/P$12)</f>
        <v>0.99894836451069435</v>
      </c>
      <c r="S27" s="14"/>
      <c r="T27" s="20">
        <f>+T17-T19+T25</f>
        <v>0</v>
      </c>
      <c r="U27" s="14"/>
      <c r="V27" s="21">
        <f>IF(T$12=0,0,T27/T$12)</f>
        <v>0</v>
      </c>
      <c r="W27" s="16"/>
      <c r="X27" s="20">
        <f>+P27-T27</f>
        <v>331591.02999999997</v>
      </c>
      <c r="Y27" s="16"/>
      <c r="Z27" s="21">
        <f>IF(T27=0,0,X27/T27)</f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>
        <v>12928.77</v>
      </c>
      <c r="E29" s="4"/>
      <c r="F29" s="12">
        <f>IF(D$12=0,0,D29/D$12)</f>
        <v>0.24967542004209548</v>
      </c>
      <c r="G29" s="4"/>
      <c r="H29" s="4"/>
      <c r="I29" s="4"/>
      <c r="J29" s="12">
        <f>IF(H$12=0,0,H29/H$12)</f>
        <v>0</v>
      </c>
      <c r="K29" s="4"/>
      <c r="L29" s="4">
        <f>+D29-H29</f>
        <v>12928.77</v>
      </c>
      <c r="M29" s="4"/>
      <c r="N29" s="12">
        <f>IF(H29=0,0,L29/H29)</f>
        <v>0</v>
      </c>
      <c r="O29" s="10"/>
      <c r="P29" s="4">
        <v>68410.039999999994</v>
      </c>
      <c r="Q29" s="4"/>
      <c r="R29" s="12">
        <f>IF(P$12=0,0,P29/P$12)</f>
        <v>0.20609151452049587</v>
      </c>
      <c r="S29" s="4"/>
      <c r="T29" s="4"/>
      <c r="U29" s="4"/>
      <c r="V29" s="12">
        <f>IF(T$12=0,0,T29/T$12)</f>
        <v>0</v>
      </c>
      <c r="W29" s="4"/>
      <c r="X29" s="4">
        <f>+P29-T29</f>
        <v>68410.039999999994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>
        <f>+D27-D29</f>
        <v>38512.319999999992</v>
      </c>
      <c r="E31" s="14"/>
      <c r="F31" s="30">
        <f>IF(D$12=0,0,D31/D$12)</f>
        <v>0.74373507091514446</v>
      </c>
      <c r="G31" s="14"/>
      <c r="H31" s="34">
        <f>+H27-H29</f>
        <v>0</v>
      </c>
      <c r="I31" s="14"/>
      <c r="J31" s="30">
        <f>IF(H$12=0,0,H31/H$12)</f>
        <v>0</v>
      </c>
      <c r="K31" s="16"/>
      <c r="L31" s="34">
        <f>D31-H31</f>
        <v>38512.319999999992</v>
      </c>
      <c r="M31" s="16"/>
      <c r="N31" s="30">
        <f>IF(H31=0,0,L31/H31)</f>
        <v>0</v>
      </c>
      <c r="O31" s="28"/>
      <c r="P31" s="34">
        <f>+P27-P29</f>
        <v>263180.99</v>
      </c>
      <c r="Q31" s="14"/>
      <c r="R31" s="30">
        <f>IF(P$12=0,0,P31/P$12)</f>
        <v>0.79285684999019856</v>
      </c>
      <c r="S31" s="14"/>
      <c r="T31" s="34">
        <f>+T27-T29</f>
        <v>0</v>
      </c>
      <c r="U31" s="14"/>
      <c r="V31" s="30">
        <f>IF(T$12=0,0,T31/T$12)</f>
        <v>0</v>
      </c>
      <c r="W31" s="16"/>
      <c r="X31" s="34">
        <f>P31-T31</f>
        <v>263180.99</v>
      </c>
      <c r="Y31" s="16"/>
      <c r="Z31" s="30">
        <f>IF(T31=0,0,X31/T31)</f>
        <v>0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294</v>
      </c>
      <c r="C34" s="29"/>
      <c r="D34" s="31">
        <f>SUM(D31:D33)</f>
        <v>38512.319999999992</v>
      </c>
      <c r="E34" s="14"/>
      <c r="F34" s="35">
        <f>IF(D$12=0,0,D34/D$12)</f>
        <v>0.74373507091514446</v>
      </c>
      <c r="G34" s="14"/>
      <c r="H34" s="31">
        <f>SUM(H31:H33)</f>
        <v>0</v>
      </c>
      <c r="I34" s="14"/>
      <c r="J34" s="35">
        <f>IF(H$12=0,0,H34/H$12)</f>
        <v>0</v>
      </c>
      <c r="K34" s="16"/>
      <c r="L34" s="31">
        <f>+D34-H34</f>
        <v>38512.319999999992</v>
      </c>
      <c r="M34" s="16"/>
      <c r="N34" s="35">
        <f>IF(H34=0,0,L34/H34)</f>
        <v>0</v>
      </c>
      <c r="O34" s="28"/>
      <c r="P34" s="31">
        <f>SUM(P31:P33)</f>
        <v>263180.99</v>
      </c>
      <c r="Q34" s="14"/>
      <c r="R34" s="35">
        <f>IF(P$12=0,0,P34/P$12)</f>
        <v>0.79285684999019856</v>
      </c>
      <c r="S34" s="14"/>
      <c r="T34" s="31">
        <f>SUM(T31:T33)</f>
        <v>0</v>
      </c>
      <c r="U34" s="14"/>
      <c r="V34" s="35">
        <f>IF(T$12=0,0,T34/T$12)</f>
        <v>0</v>
      </c>
      <c r="W34" s="16"/>
      <c r="X34" s="31">
        <f>+P34-T34</f>
        <v>263180.99</v>
      </c>
      <c r="Y34" s="16"/>
      <c r="Z34" s="35">
        <f>IF(T34=0,0,X34/T34)</f>
        <v>0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>
        <v>44295.961797766206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3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","423", " - ", "Contract Revenue")</f>
        <v>Department 423 - Contract Revenue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186</v>
      </c>
      <c r="E18" s="22"/>
      <c r="F18" s="32">
        <f t="shared" ref="F18:F27" si="0">IF(D$12=0,0,D18/D$12)</f>
        <v>0</v>
      </c>
      <c r="G18" s="22"/>
      <c r="H18" s="22">
        <f>SUM(OSRRefH22x_0)</f>
        <v>14543.621307692309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-14357.621307692309</v>
      </c>
      <c r="M18" s="4"/>
      <c r="N18" s="32">
        <f t="shared" ref="N18:N27" si="3">IF(H18=0,0,L18/H18)</f>
        <v>-0.98721088812305491</v>
      </c>
      <c r="O18" s="10"/>
      <c r="P18" s="22">
        <f>SUM(OSRRefP22x_0)</f>
        <v>3288.7400000000002</v>
      </c>
      <c r="Q18" s="22"/>
      <c r="R18" s="32">
        <f t="shared" ref="R18:R27" si="4">IF(P$12=0,0,P18/P$12)</f>
        <v>0</v>
      </c>
      <c r="S18" s="22"/>
      <c r="T18" s="22">
        <f>SUM(OSRRefT22x_0)</f>
        <v>142692.80774999992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-139404.06774999993</v>
      </c>
      <c r="Y18" s="4"/>
      <c r="Z18" s="32">
        <f t="shared" ref="Z18:Z27" si="7">IF(T18=0,0,X18/T18)</f>
        <v>-0.97695230718452242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3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41435.307750000022</v>
      </c>
      <c r="U19" s="1"/>
      <c r="V19" s="5">
        <f t="shared" si="5"/>
        <v>0</v>
      </c>
      <c r="W19" s="1"/>
      <c r="X19" s="1">
        <f t="shared" si="6"/>
        <v>-38956.577750000019</v>
      </c>
      <c r="Y19" s="1"/>
      <c r="Z19" s="5">
        <f t="shared" si="7"/>
        <v>-0.94017831326473011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847.12823076923098</v>
      </c>
      <c r="I20" s="2"/>
      <c r="J20" s="6">
        <f t="shared" si="1"/>
        <v>0</v>
      </c>
      <c r="K20" s="2"/>
      <c r="L20" s="7">
        <f t="shared" si="2"/>
        <v>-847.12823076923098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8259.5002500000101</v>
      </c>
      <c r="U20" s="2"/>
      <c r="V20" s="6">
        <f t="shared" si="5"/>
        <v>0</v>
      </c>
      <c r="W20" s="2"/>
      <c r="X20" s="7">
        <f t="shared" si="6"/>
        <v>-8259.5002500000101</v>
      </c>
      <c r="Y20" s="2"/>
      <c r="Z20" s="6">
        <f t="shared" si="7"/>
        <v>-1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36.528461538461499</v>
      </c>
      <c r="I21" s="2"/>
      <c r="J21" s="6">
        <f t="shared" si="1"/>
        <v>0</v>
      </c>
      <c r="K21" s="2"/>
      <c r="L21" s="7">
        <f t="shared" si="2"/>
        <v>-36.528461538461499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356.15249999999997</v>
      </c>
      <c r="U21" s="2"/>
      <c r="V21" s="6">
        <f t="shared" si="5"/>
        <v>0</v>
      </c>
      <c r="W21" s="2"/>
      <c r="X21" s="7">
        <f t="shared" si="6"/>
        <v>-356.15249999999997</v>
      </c>
      <c r="Y21" s="2"/>
      <c r="Z21" s="6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12465</v>
      </c>
      <c r="U22" s="2"/>
      <c r="V22" s="6">
        <f t="shared" si="5"/>
        <v>0</v>
      </c>
      <c r="W22" s="2"/>
      <c r="X22" s="7">
        <f t="shared" si="6"/>
        <v>-10596.8</v>
      </c>
      <c r="Y22" s="2"/>
      <c r="Z22" s="6">
        <f t="shared" si="7"/>
        <v>-0.85012434817488969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28.78</v>
      </c>
      <c r="I23" s="2"/>
      <c r="J23" s="6">
        <f t="shared" si="1"/>
        <v>0</v>
      </c>
      <c r="K23" s="2"/>
      <c r="L23" s="7">
        <f t="shared" si="2"/>
        <v>-28.78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280.60500000000002</v>
      </c>
      <c r="U23" s="2"/>
      <c r="V23" s="6">
        <f t="shared" si="5"/>
        <v>0</v>
      </c>
      <c r="W23" s="2"/>
      <c r="X23" s="7">
        <f t="shared" si="6"/>
        <v>-280.60500000000002</v>
      </c>
      <c r="Y23" s="2"/>
      <c r="Z23" s="6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951.95384615384603</v>
      </c>
      <c r="I24" s="2"/>
      <c r="J24" s="6">
        <f t="shared" si="1"/>
        <v>0</v>
      </c>
      <c r="K24" s="2"/>
      <c r="L24" s="7">
        <f t="shared" si="2"/>
        <v>-951.95384615384603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9281.5500000000102</v>
      </c>
      <c r="U24" s="2"/>
      <c r="V24" s="6">
        <f t="shared" si="5"/>
        <v>0</v>
      </c>
      <c r="W24" s="2"/>
      <c r="X24" s="7">
        <f t="shared" si="6"/>
        <v>-8671.0200000000095</v>
      </c>
      <c r="Y24" s="2"/>
      <c r="Z24" s="6">
        <f t="shared" si="7"/>
        <v>-0.93422111608513669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1106.9230769230801</v>
      </c>
      <c r="I26" s="2"/>
      <c r="J26" s="6">
        <f t="shared" si="1"/>
        <v>0</v>
      </c>
      <c r="K26" s="2"/>
      <c r="L26" s="7">
        <f t="shared" si="2"/>
        <v>-1106.9230769230801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10792.5</v>
      </c>
      <c r="U26" s="2"/>
      <c r="V26" s="6">
        <f t="shared" si="5"/>
        <v>0</v>
      </c>
      <c r="W26" s="2"/>
      <c r="X26" s="7">
        <f t="shared" si="6"/>
        <v>-10792.5</v>
      </c>
      <c r="Y26" s="2"/>
      <c r="Z26" s="6">
        <f t="shared" si="7"/>
        <v>-1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3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97132.499999999898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-97132.499999999898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9962.3076923076896</v>
      </c>
      <c r="I29" s="2"/>
      <c r="J29" s="6">
        <f t="shared" si="9"/>
        <v>0</v>
      </c>
      <c r="K29" s="2"/>
      <c r="L29" s="7">
        <f t="shared" si="10"/>
        <v>-9962.3076923076896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97132.499999999898</v>
      </c>
      <c r="U29" s="2"/>
      <c r="V29" s="6">
        <f t="shared" si="13"/>
        <v>0</v>
      </c>
      <c r="W29" s="2"/>
      <c r="X29" s="7">
        <f t="shared" si="14"/>
        <v>-97132.499999999898</v>
      </c>
      <c r="Y29" s="2"/>
      <c r="Z29" s="6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5" customFormat="1" outlineLevel="1" collapsed="1" x14ac:dyDescent="0.25">
      <c r="A39" s="27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3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5" customFormat="1" outlineLevel="1" collapsed="1" x14ac:dyDescent="0.25">
      <c r="A41" s="27"/>
      <c r="B41" s="13" t="str">
        <f>CONCATENATE("     ","Services                                          ")</f>
        <v xml:space="preserve">     Services                                          </v>
      </c>
      <c r="C41" s="13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6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3"/>
      <c r="P44" s="1">
        <f>SUM(OSRRefP22_4x_0)</f>
        <v>-2.99</v>
      </c>
      <c r="Q44" s="1"/>
      <c r="R44" s="5">
        <f t="shared" ref="R44:R49" si="28">IF(P$12=0,0,P44/P$12)</f>
        <v>0</v>
      </c>
      <c r="S44" s="1"/>
      <c r="T44" s="1">
        <f>SUM(OSRRefT22_4x_0)</f>
        <v>225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-227.99</v>
      </c>
      <c r="Y44" s="1"/>
      <c r="Z44" s="5">
        <f t="shared" ref="Z44:Z49" si="31">IF(T44=0,0,X44/T44)</f>
        <v>-1.0132888888888889</v>
      </c>
    </row>
    <row r="45" spans="1:26" s="24" customFormat="1" hidden="1" outlineLevel="2" x14ac:dyDescent="0.25">
      <c r="A45" s="26"/>
      <c r="B45" s="11" t="str">
        <f>CONCATENATE("          ", "6241", " - ", "OFFICE EXPENSE")</f>
        <v xml:space="preserve">          6241 - OFFICE EXPENSE</v>
      </c>
      <c r="C45" s="11"/>
      <c r="D45" s="7"/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-25</v>
      </c>
      <c r="M45" s="2"/>
      <c r="N45" s="6">
        <f t="shared" si="27"/>
        <v>-1</v>
      </c>
      <c r="O45" s="11"/>
      <c r="P45" s="7">
        <v>-2.99</v>
      </c>
      <c r="Q45" s="2"/>
      <c r="R45" s="6">
        <f t="shared" si="28"/>
        <v>0</v>
      </c>
      <c r="S45" s="2"/>
      <c r="T45" s="7">
        <v>225</v>
      </c>
      <c r="U45" s="2"/>
      <c r="V45" s="6">
        <f t="shared" si="29"/>
        <v>0</v>
      </c>
      <c r="W45" s="2"/>
      <c r="X45" s="7">
        <f t="shared" si="30"/>
        <v>-227.99</v>
      </c>
      <c r="Y45" s="2"/>
      <c r="Z45" s="6">
        <f t="shared" si="31"/>
        <v>-1.0132888888888889</v>
      </c>
    </row>
    <row r="46" spans="1:26" s="25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SUM(OSRRefD22_5x_0)</f>
        <v>186</v>
      </c>
      <c r="E46" s="1"/>
      <c r="F46" s="5">
        <f t="shared" si="24"/>
        <v>0</v>
      </c>
      <c r="G46" s="1"/>
      <c r="H46" s="1">
        <f>SUM(OSRRefH22_5x_0)</f>
        <v>200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-7.0000000000000007E-2</v>
      </c>
      <c r="O46" s="13"/>
      <c r="P46" s="1">
        <f>SUM(OSRRefP22_5x_0)</f>
        <v>813</v>
      </c>
      <c r="Q46" s="1"/>
      <c r="R46" s="5">
        <f t="shared" si="28"/>
        <v>0</v>
      </c>
      <c r="S46" s="1"/>
      <c r="T46" s="1">
        <f>SUM(OSRRefT22_5x_0)</f>
        <v>900</v>
      </c>
      <c r="U46" s="1"/>
      <c r="V46" s="5">
        <f t="shared" si="29"/>
        <v>0</v>
      </c>
      <c r="W46" s="1"/>
      <c r="X46" s="1">
        <f t="shared" si="30"/>
        <v>-87</v>
      </c>
      <c r="Y46" s="1"/>
      <c r="Z46" s="5">
        <f t="shared" si="31"/>
        <v>-9.6666666666666665E-2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7">
        <v>186</v>
      </c>
      <c r="E47" s="2"/>
      <c r="F47" s="6">
        <f t="shared" si="24"/>
        <v>0</v>
      </c>
      <c r="G47" s="2"/>
      <c r="H47" s="7">
        <v>200</v>
      </c>
      <c r="I47" s="2"/>
      <c r="J47" s="6">
        <f t="shared" si="25"/>
        <v>0</v>
      </c>
      <c r="K47" s="2"/>
      <c r="L47" s="7">
        <f t="shared" si="26"/>
        <v>-14</v>
      </c>
      <c r="M47" s="2"/>
      <c r="N47" s="6">
        <f t="shared" si="27"/>
        <v>-7.0000000000000007E-2</v>
      </c>
      <c r="O47" s="11"/>
      <c r="P47" s="7">
        <v>813</v>
      </c>
      <c r="Q47" s="2"/>
      <c r="R47" s="6">
        <f t="shared" si="28"/>
        <v>0</v>
      </c>
      <c r="S47" s="2"/>
      <c r="T47" s="7">
        <v>900</v>
      </c>
      <c r="U47" s="2"/>
      <c r="V47" s="6">
        <f t="shared" si="29"/>
        <v>0</v>
      </c>
      <c r="W47" s="2"/>
      <c r="X47" s="7">
        <f t="shared" si="30"/>
        <v>-87</v>
      </c>
      <c r="Y47" s="2"/>
      <c r="Z47" s="6">
        <f t="shared" si="31"/>
        <v>-9.6666666666666665E-2</v>
      </c>
    </row>
    <row r="48" spans="1:26" s="25" customFormat="1" outlineLevel="1" collapsed="1" x14ac:dyDescent="0.25">
      <c r="A48" s="27"/>
      <c r="B48" s="13" t="str">
        <f>CONCATENATE("     ","Utilities                                         ")</f>
        <v xml:space="preserve">     Utilities                                         </v>
      </c>
      <c r="C48" s="13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6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59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8" t="s">
        <v>293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11116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-11116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51391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-51391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44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19">
        <f t="shared" si="32"/>
        <v>0</v>
      </c>
      <c r="G52" s="2"/>
      <c r="H52" s="2">
        <v>2970</v>
      </c>
      <c r="I52" s="2"/>
      <c r="J52" s="19">
        <f t="shared" si="33"/>
        <v>0</v>
      </c>
      <c r="K52" s="2"/>
      <c r="L52" s="2">
        <f t="shared" si="34"/>
        <v>-2970</v>
      </c>
      <c r="M52" s="2"/>
      <c r="N52" s="19">
        <f t="shared" si="35"/>
        <v>-1</v>
      </c>
      <c r="O52" s="11"/>
      <c r="P52" s="2">
        <f t="shared" ref="P52:P54" si="41">0</f>
        <v>0</v>
      </c>
      <c r="Q52" s="2"/>
      <c r="R52" s="19">
        <f t="shared" si="36"/>
        <v>0</v>
      </c>
      <c r="S52" s="2"/>
      <c r="T52" s="2">
        <v>19642</v>
      </c>
      <c r="U52" s="2"/>
      <c r="V52" s="19">
        <f t="shared" si="37"/>
        <v>0</v>
      </c>
      <c r="W52" s="2"/>
      <c r="X52" s="2">
        <f t="shared" si="38"/>
        <v>-19642</v>
      </c>
      <c r="Y52" s="2"/>
      <c r="Z52" s="19">
        <f t="shared" si="39"/>
        <v>-1</v>
      </c>
    </row>
    <row r="53" spans="1:26" s="24" customFormat="1" hidden="1" outlineLevel="1" x14ac:dyDescent="0.25">
      <c r="A53" s="44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19">
        <f t="shared" si="32"/>
        <v>0</v>
      </c>
      <c r="G53" s="2"/>
      <c r="H53" s="2">
        <v>6825</v>
      </c>
      <c r="I53" s="2"/>
      <c r="J53" s="19">
        <f t="shared" si="33"/>
        <v>0</v>
      </c>
      <c r="K53" s="2"/>
      <c r="L53" s="2">
        <f t="shared" si="34"/>
        <v>-6825</v>
      </c>
      <c r="M53" s="2"/>
      <c r="N53" s="19">
        <f t="shared" si="35"/>
        <v>-1</v>
      </c>
      <c r="O53" s="11"/>
      <c r="P53" s="2">
        <f t="shared" si="41"/>
        <v>0</v>
      </c>
      <c r="Q53" s="2"/>
      <c r="R53" s="19">
        <f t="shared" si="36"/>
        <v>0</v>
      </c>
      <c r="S53" s="2"/>
      <c r="T53" s="2">
        <v>22298</v>
      </c>
      <c r="U53" s="2"/>
      <c r="V53" s="19">
        <f t="shared" si="37"/>
        <v>0</v>
      </c>
      <c r="W53" s="2"/>
      <c r="X53" s="2">
        <f t="shared" si="38"/>
        <v>-22298</v>
      </c>
      <c r="Y53" s="2"/>
      <c r="Z53" s="19">
        <f t="shared" si="39"/>
        <v>-1</v>
      </c>
    </row>
    <row r="54" spans="1:26" s="24" customFormat="1" hidden="1" outlineLevel="1" x14ac:dyDescent="0.25">
      <c r="A54" s="44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19">
        <f t="shared" si="32"/>
        <v>0</v>
      </c>
      <c r="G54" s="2"/>
      <c r="H54" s="2">
        <v>1321</v>
      </c>
      <c r="I54" s="2"/>
      <c r="J54" s="19">
        <f t="shared" si="33"/>
        <v>0</v>
      </c>
      <c r="K54" s="2"/>
      <c r="L54" s="2">
        <f t="shared" si="34"/>
        <v>-1321</v>
      </c>
      <c r="M54" s="2"/>
      <c r="N54" s="19">
        <f t="shared" si="35"/>
        <v>-1</v>
      </c>
      <c r="O54" s="11"/>
      <c r="P54" s="2">
        <f t="shared" si="41"/>
        <v>0</v>
      </c>
      <c r="Q54" s="2"/>
      <c r="R54" s="19">
        <f t="shared" si="36"/>
        <v>0</v>
      </c>
      <c r="S54" s="2"/>
      <c r="T54" s="2">
        <v>9451</v>
      </c>
      <c r="U54" s="2"/>
      <c r="V54" s="19">
        <f t="shared" si="37"/>
        <v>0</v>
      </c>
      <c r="W54" s="2"/>
      <c r="X54" s="2">
        <f t="shared" si="38"/>
        <v>-9451</v>
      </c>
      <c r="Y54" s="2"/>
      <c r="Z54" s="19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277</v>
      </c>
      <c r="C56" s="29"/>
      <c r="D56" s="20">
        <f>+D16-D18+D51</f>
        <v>-186</v>
      </c>
      <c r="E56" s="14"/>
      <c r="F56" s="21">
        <f>IF(D$12=0,0,D56/D$12)</f>
        <v>0</v>
      </c>
      <c r="G56" s="14"/>
      <c r="H56" s="20">
        <f>+H16-H18+H51</f>
        <v>-3427.6213076923086</v>
      </c>
      <c r="I56" s="14"/>
      <c r="J56" s="21">
        <f>IF(H$12=0,0,H56/H$12)</f>
        <v>0</v>
      </c>
      <c r="K56" s="16"/>
      <c r="L56" s="20">
        <f>+D56-H56</f>
        <v>3241.6213076923086</v>
      </c>
      <c r="M56" s="16"/>
      <c r="N56" s="21">
        <f>IF(H56=0,0,L56/H56)</f>
        <v>-0.94573496214923847</v>
      </c>
      <c r="O56" s="28"/>
      <c r="P56" s="20">
        <f>+P16-P18+P51</f>
        <v>-3288.7400000000002</v>
      </c>
      <c r="Q56" s="14"/>
      <c r="R56" s="21">
        <f>IF(P$12=0,0,P56/P$12)</f>
        <v>0</v>
      </c>
      <c r="S56" s="14"/>
      <c r="T56" s="20">
        <f>+T16-T18+T51</f>
        <v>-91301.80774999992</v>
      </c>
      <c r="U56" s="14"/>
      <c r="V56" s="21">
        <f>IF(T$12=0,0,T56/T$12)</f>
        <v>0</v>
      </c>
      <c r="W56" s="16"/>
      <c r="X56" s="20">
        <f>+P56-T56</f>
        <v>88013.067749999915</v>
      </c>
      <c r="Y56" s="16"/>
      <c r="Z56" s="21">
        <f>IF(T56=0,0,X56/T56)</f>
        <v>-0.96397946457965933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128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126</v>
      </c>
      <c r="C60" s="29"/>
      <c r="D60" s="34">
        <f>+D56-D58</f>
        <v>-186</v>
      </c>
      <c r="E60" s="14"/>
      <c r="F60" s="30">
        <f>IF(D$12=0,0,D60/D$12)</f>
        <v>0</v>
      </c>
      <c r="G60" s="14"/>
      <c r="H60" s="34">
        <f>+H56-H58</f>
        <v>-3427.6213076923086</v>
      </c>
      <c r="I60" s="14"/>
      <c r="J60" s="30">
        <f>IF(H$12=0,0,H60/H$12)</f>
        <v>0</v>
      </c>
      <c r="K60" s="16"/>
      <c r="L60" s="34">
        <f>D60-H60</f>
        <v>3241.6213076923086</v>
      </c>
      <c r="M60" s="16"/>
      <c r="N60" s="30">
        <f>IF(H60=0,0,L60/H60)</f>
        <v>-0.94573496214923847</v>
      </c>
      <c r="O60" s="28"/>
      <c r="P60" s="34">
        <f>+P56-P58</f>
        <v>-3288.7400000000002</v>
      </c>
      <c r="Q60" s="14"/>
      <c r="R60" s="30">
        <f>IF(P$12=0,0,P60/P$12)</f>
        <v>0</v>
      </c>
      <c r="S60" s="14"/>
      <c r="T60" s="34">
        <f>+T56-T58</f>
        <v>-91301.80774999992</v>
      </c>
      <c r="U60" s="14"/>
      <c r="V60" s="30">
        <f>IF(T$12=0,0,T60/T$12)</f>
        <v>0</v>
      </c>
      <c r="W60" s="16"/>
      <c r="X60" s="34">
        <f>P60-T60</f>
        <v>88013.067749999915</v>
      </c>
      <c r="Y60" s="16"/>
      <c r="Z60" s="30">
        <f>IF(T60=0,0,X60/T60)</f>
        <v>-0.96397946457965933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9" t="s">
        <v>294</v>
      </c>
      <c r="C63" s="29"/>
      <c r="D63" s="31">
        <f>SUM(D60:D62)</f>
        <v>-186</v>
      </c>
      <c r="E63" s="14"/>
      <c r="F63" s="35">
        <f>IF(D$12=0,0,D63/D$12)</f>
        <v>0</v>
      </c>
      <c r="G63" s="14"/>
      <c r="H63" s="31">
        <f>SUM(H60:H62)</f>
        <v>-3427.6213076923086</v>
      </c>
      <c r="I63" s="14"/>
      <c r="J63" s="35">
        <f>IF(H$12=0,0,H63/H$12)</f>
        <v>0</v>
      </c>
      <c r="K63" s="16"/>
      <c r="L63" s="31">
        <f>+D63-H63</f>
        <v>3241.6213076923086</v>
      </c>
      <c r="M63" s="16"/>
      <c r="N63" s="35">
        <f>IF(H63=0,0,L63/H63)</f>
        <v>-0.94573496214923847</v>
      </c>
      <c r="O63" s="28"/>
      <c r="P63" s="31">
        <f>SUM(P60:P62)</f>
        <v>-3288.7400000000002</v>
      </c>
      <c r="Q63" s="14"/>
      <c r="R63" s="35">
        <f>IF(P$12=0,0,P63/P$12)</f>
        <v>0</v>
      </c>
      <c r="S63" s="14"/>
      <c r="T63" s="31">
        <f>SUM(T60:T62)</f>
        <v>-91301.80774999992</v>
      </c>
      <c r="U63" s="14"/>
      <c r="V63" s="35">
        <f>IF(T$12=0,0,T63/T$12)</f>
        <v>0</v>
      </c>
      <c r="W63" s="16"/>
      <c r="X63" s="31">
        <f>+P63-T63</f>
        <v>88013.067749999915</v>
      </c>
      <c r="Y63" s="16"/>
      <c r="Z63" s="35">
        <f>IF(T63=0,0,X63/T63)</f>
        <v>-0.96397946457965933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6">
        <v>44295.961797766206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3" t="s">
        <v>56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4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934.29</v>
      </c>
      <c r="E18" s="22"/>
      <c r="F18" s="32">
        <f t="shared" ref="F18:F26" si="0">IF(D$12=0,0,D18/D$12)</f>
        <v>0</v>
      </c>
      <c r="G18" s="22"/>
      <c r="H18" s="22">
        <f>SUM(OSRRefH22x_0)</f>
        <v>479</v>
      </c>
      <c r="I18" s="22"/>
      <c r="J18" s="32">
        <f t="shared" ref="J18:J26" si="1">IF(H$12=0,0,H18/H$12)</f>
        <v>0</v>
      </c>
      <c r="K18" s="4"/>
      <c r="L18" s="22">
        <f t="shared" ref="L18:L26" si="2">+D18-H18</f>
        <v>455.28999999999996</v>
      </c>
      <c r="M18" s="4"/>
      <c r="N18" s="32">
        <f t="shared" ref="N18:N26" si="3">IF(H18=0,0,L18/H18)</f>
        <v>0.95050104384133605</v>
      </c>
      <c r="O18" s="10"/>
      <c r="P18" s="22">
        <f>SUM(OSRRefP22x_0)</f>
        <v>5874.5</v>
      </c>
      <c r="Q18" s="22"/>
      <c r="R18" s="32">
        <f t="shared" ref="R18:R26" si="4">IF(P$12=0,0,P18/P$12)</f>
        <v>0</v>
      </c>
      <c r="S18" s="22"/>
      <c r="T18" s="22">
        <f>SUM(OSRRefT22x_0)</f>
        <v>4311</v>
      </c>
      <c r="U18" s="22"/>
      <c r="V18" s="32">
        <f t="shared" ref="V18:V26" si="5">IF(T$12=0,0,T18/T$12)</f>
        <v>0</v>
      </c>
      <c r="W18" s="4"/>
      <c r="X18" s="22">
        <f t="shared" ref="X18:X26" si="6">+P18-T18</f>
        <v>1563.5</v>
      </c>
      <c r="Y18" s="4"/>
      <c r="Z18" s="32">
        <f t="shared" ref="Z18:Z26" si="7">IF(T18=0,0,X18/T18)</f>
        <v>0.36267687311528646</v>
      </c>
    </row>
    <row r="19" spans="1:26" s="25" customFormat="1" outlineLevel="1" collapsed="1" x14ac:dyDescent="0.25">
      <c r="A19" s="27"/>
      <c r="B19" s="13" t="str">
        <f>CONCATENATE("     ","Depreciation                                      ")</f>
        <v xml:space="preserve">     Depreciation                                      </v>
      </c>
      <c r="C19" s="13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3"/>
      <c r="P19" s="1">
        <f>SUM(OSRRefP22_0x_0)</f>
        <v>4313.6099999999997</v>
      </c>
      <c r="Q19" s="1"/>
      <c r="R19" s="5">
        <f t="shared" si="4"/>
        <v>0</v>
      </c>
      <c r="S19" s="1"/>
      <c r="T19" s="1">
        <f>SUM(OSRRefT22_0x_0)</f>
        <v>4311</v>
      </c>
      <c r="U19" s="1"/>
      <c r="V19" s="5">
        <f t="shared" si="5"/>
        <v>0</v>
      </c>
      <c r="W19" s="1"/>
      <c r="X19" s="1">
        <f t="shared" si="6"/>
        <v>2.6099999999996726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6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4313.6099999999997</v>
      </c>
      <c r="Q20" s="2"/>
      <c r="R20" s="6">
        <f t="shared" si="4"/>
        <v>0</v>
      </c>
      <c r="S20" s="2"/>
      <c r="T20" s="7">
        <v>4311</v>
      </c>
      <c r="U20" s="2"/>
      <c r="V20" s="6">
        <f t="shared" si="5"/>
        <v>0</v>
      </c>
      <c r="W20" s="2"/>
      <c r="X20" s="7">
        <f t="shared" si="6"/>
        <v>2.6099999999996726</v>
      </c>
      <c r="Y20" s="2"/>
      <c r="Z20" s="6">
        <f t="shared" si="7"/>
        <v>6.0542797494773199E-4</v>
      </c>
    </row>
    <row r="21" spans="1:26" s="25" customFormat="1" outlineLevel="1" collapsed="1" x14ac:dyDescent="0.25">
      <c r="A21" s="27"/>
      <c r="B21" s="13" t="str">
        <f>CONCATENATE("     ","General                                           ")</f>
        <v xml:space="preserve">     General                                           </v>
      </c>
      <c r="C21" s="13"/>
      <c r="D21" s="1">
        <f>SUM(OSRRefD22_1x_0)</f>
        <v>455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455</v>
      </c>
      <c r="M21" s="1"/>
      <c r="N21" s="5">
        <f t="shared" si="3"/>
        <v>0</v>
      </c>
      <c r="O21" s="13"/>
      <c r="P21" s="1">
        <f>SUM(OSRRefP22_1x_0)</f>
        <v>978.55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978.55</v>
      </c>
      <c r="Y21" s="1"/>
      <c r="Z21" s="5">
        <f t="shared" si="7"/>
        <v>0</v>
      </c>
    </row>
    <row r="22" spans="1:26" s="24" customFormat="1" hidden="1" outlineLevel="2" x14ac:dyDescent="0.25">
      <c r="A22" s="26"/>
      <c r="B22" s="11" t="str">
        <f>CONCATENATE("          ", "6279", " - ", "GENERAL EXPENSE")</f>
        <v xml:space="preserve">          6279 - GENERAL EXPENSE</v>
      </c>
      <c r="C22" s="11"/>
      <c r="D22" s="7">
        <v>455</v>
      </c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455</v>
      </c>
      <c r="M22" s="2"/>
      <c r="N22" s="6">
        <f t="shared" si="3"/>
        <v>0</v>
      </c>
      <c r="O22" s="11"/>
      <c r="P22" s="7">
        <v>978.55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978.55</v>
      </c>
      <c r="Y22" s="2"/>
      <c r="Z22" s="6">
        <f t="shared" si="7"/>
        <v>0</v>
      </c>
    </row>
    <row r="23" spans="1:26" s="25" customFormat="1" outlineLevel="1" collapsed="1" x14ac:dyDescent="0.25">
      <c r="A23" s="27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5" customFormat="1" outlineLevel="1" collapsed="1" x14ac:dyDescent="0.25">
      <c r="A25" s="27"/>
      <c r="B25" s="13" t="str">
        <f>CONCATENATE("     ","Telephone/Data Lines                              ")</f>
        <v xml:space="preserve">     Telephone/Data Lines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428.01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428.01</v>
      </c>
      <c r="Y26" s="2"/>
      <c r="Z26" s="6">
        <f t="shared" si="7"/>
        <v>0</v>
      </c>
    </row>
    <row r="27" spans="1:26" s="59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277</v>
      </c>
      <c r="C30" s="29"/>
      <c r="D30" s="20">
        <f>+D16-D18+D28</f>
        <v>-934.29</v>
      </c>
      <c r="E30" s="14"/>
      <c r="F30" s="21">
        <f>IF(D$12=0,0,D30/D$12)</f>
        <v>0</v>
      </c>
      <c r="G30" s="14"/>
      <c r="H30" s="20">
        <f>+H16-H18+H28</f>
        <v>-479</v>
      </c>
      <c r="I30" s="14"/>
      <c r="J30" s="21">
        <f>IF(H$12=0,0,H30/H$12)</f>
        <v>0</v>
      </c>
      <c r="K30" s="16"/>
      <c r="L30" s="20">
        <f>+D30-H30</f>
        <v>-455.28999999999996</v>
      </c>
      <c r="M30" s="16"/>
      <c r="N30" s="21">
        <f>IF(H30=0,0,L30/H30)</f>
        <v>0.95050104384133605</v>
      </c>
      <c r="O30" s="28"/>
      <c r="P30" s="20">
        <f>+P16-P18+P28</f>
        <v>-5874.5</v>
      </c>
      <c r="Q30" s="14"/>
      <c r="R30" s="21">
        <f>IF(P$12=0,0,P30/P$12)</f>
        <v>0</v>
      </c>
      <c r="S30" s="14"/>
      <c r="T30" s="20">
        <f>+T16-T18+T28</f>
        <v>-4311</v>
      </c>
      <c r="U30" s="14"/>
      <c r="V30" s="21">
        <f>IF(T$12=0,0,T30/T$12)</f>
        <v>0</v>
      </c>
      <c r="W30" s="16"/>
      <c r="X30" s="20">
        <f>+P30-T30</f>
        <v>-1563.5</v>
      </c>
      <c r="Y30" s="16"/>
      <c r="Z30" s="21">
        <f>IF(T30=0,0,X30/T30)</f>
        <v>0.36267687311528646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126</v>
      </c>
      <c r="C34" s="29"/>
      <c r="D34" s="34">
        <f>+D30-D32</f>
        <v>-934.29</v>
      </c>
      <c r="E34" s="14"/>
      <c r="F34" s="30">
        <f>IF(D$12=0,0,D34/D$12)</f>
        <v>0</v>
      </c>
      <c r="G34" s="14"/>
      <c r="H34" s="34">
        <f>+H30-H32</f>
        <v>-479</v>
      </c>
      <c r="I34" s="14"/>
      <c r="J34" s="30">
        <f>IF(H$12=0,0,H34/H$12)</f>
        <v>0</v>
      </c>
      <c r="K34" s="16"/>
      <c r="L34" s="34">
        <f>D34-H34</f>
        <v>-455.28999999999996</v>
      </c>
      <c r="M34" s="16"/>
      <c r="N34" s="30">
        <f>IF(H34=0,0,L34/H34)</f>
        <v>0.95050104384133605</v>
      </c>
      <c r="O34" s="28"/>
      <c r="P34" s="34">
        <f>+P30-P32</f>
        <v>-5874.5</v>
      </c>
      <c r="Q34" s="14"/>
      <c r="R34" s="30">
        <f>IF(P$12=0,0,P34/P$12)</f>
        <v>0</v>
      </c>
      <c r="S34" s="14"/>
      <c r="T34" s="34">
        <f>+T30-T32</f>
        <v>-4311</v>
      </c>
      <c r="U34" s="14"/>
      <c r="V34" s="30">
        <f>IF(T$12=0,0,T34/T$12)</f>
        <v>0</v>
      </c>
      <c r="W34" s="16"/>
      <c r="X34" s="34">
        <f>P34-T34</f>
        <v>-1563.5</v>
      </c>
      <c r="Y34" s="16"/>
      <c r="Z34" s="30">
        <f>IF(T34=0,0,X34/T34)</f>
        <v>0.36267687311528646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294</v>
      </c>
      <c r="C37" s="29"/>
      <c r="D37" s="31">
        <f>SUM(D34:D36)</f>
        <v>-934.29</v>
      </c>
      <c r="E37" s="14"/>
      <c r="F37" s="35">
        <f>IF(D$12=0,0,D37/D$12)</f>
        <v>0</v>
      </c>
      <c r="G37" s="14"/>
      <c r="H37" s="31">
        <f>SUM(H34:H36)</f>
        <v>-479</v>
      </c>
      <c r="I37" s="14"/>
      <c r="J37" s="35">
        <f>IF(H$12=0,0,H37/H$12)</f>
        <v>0</v>
      </c>
      <c r="K37" s="16"/>
      <c r="L37" s="31">
        <f>+D37-H37</f>
        <v>-455.28999999999996</v>
      </c>
      <c r="M37" s="16"/>
      <c r="N37" s="35">
        <f>IF(H37=0,0,L37/H37)</f>
        <v>0.95050104384133605</v>
      </c>
      <c r="O37" s="28"/>
      <c r="P37" s="31">
        <f>SUM(P34:P36)</f>
        <v>-5874.5</v>
      </c>
      <c r="Q37" s="14"/>
      <c r="R37" s="35">
        <f>IF(P$12=0,0,P37/P$12)</f>
        <v>0</v>
      </c>
      <c r="S37" s="14"/>
      <c r="T37" s="31">
        <f>SUM(T34:T36)</f>
        <v>-4311</v>
      </c>
      <c r="U37" s="14"/>
      <c r="V37" s="35">
        <f>IF(T$12=0,0,T37/T$12)</f>
        <v>0</v>
      </c>
      <c r="W37" s="16"/>
      <c r="X37" s="31">
        <f>+P37-T37</f>
        <v>-1563.5</v>
      </c>
      <c r="Y37" s="16"/>
      <c r="Z37" s="35">
        <f>IF(T37=0,0,X37/T37)</f>
        <v>0.36267687311528646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>
        <v>44295.961797766206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3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4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257</v>
      </c>
      <c r="C14" s="10"/>
      <c r="D14" s="4">
        <f>SUM(OSRRefD16x_0)</f>
        <v>-6593.4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-6593.4</v>
      </c>
      <c r="M14" s="4"/>
      <c r="N14" s="12">
        <f t="shared" ref="N14:N15" si="3">IF(H14=0,0,L14/H14)</f>
        <v>0</v>
      </c>
      <c r="O14" s="10"/>
      <c r="P14" s="4">
        <f>SUM(OSRRefP16x_0)</f>
        <v>-6593.4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-6593.4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-6593.4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-6593.4</v>
      </c>
      <c r="M15" s="2"/>
      <c r="N15" s="19">
        <f t="shared" si="3"/>
        <v>0</v>
      </c>
      <c r="O15" s="11"/>
      <c r="P15" s="2">
        <v>-6593.4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-6593.4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D12-D14</f>
        <v>6593.4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6"/>
      <c r="L17" s="20">
        <f>+D17-H17</f>
        <v>6593.4</v>
      </c>
      <c r="M17" s="16"/>
      <c r="N17" s="21">
        <f>IF(H17=0,0,L17/H17)</f>
        <v>0</v>
      </c>
      <c r="O17" s="28"/>
      <c r="P17" s="20">
        <f>P12-P14</f>
        <v>6593.4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6"/>
      <c r="X17" s="20">
        <f>+P17-T17</f>
        <v>6593.4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1000.91</v>
      </c>
      <c r="E19" s="22"/>
      <c r="F19" s="32">
        <f t="shared" ref="F19:F25" si="8">IF(D$12=0,0,D19/D$12)</f>
        <v>0</v>
      </c>
      <c r="G19" s="22"/>
      <c r="H19" s="22">
        <f>SUM(OSRRefH22x_0)</f>
        <v>1001</v>
      </c>
      <c r="I19" s="22"/>
      <c r="J19" s="32">
        <f t="shared" ref="J19:J25" si="9">IF(H$12=0,0,H19/H$12)</f>
        <v>0</v>
      </c>
      <c r="K19" s="4"/>
      <c r="L19" s="22">
        <f t="shared" ref="L19:L25" si="10">+D19-H19</f>
        <v>-9.0000000000031832E-2</v>
      </c>
      <c r="M19" s="4"/>
      <c r="N19" s="32">
        <f t="shared" ref="N19:N25" si="11">IF(H19=0,0,L19/H19)</f>
        <v>-8.9910089910121704E-5</v>
      </c>
      <c r="O19" s="10"/>
      <c r="P19" s="22">
        <f>SUM(OSRRefP22x_0)</f>
        <v>12636.869999999999</v>
      </c>
      <c r="Q19" s="22"/>
      <c r="R19" s="32">
        <f t="shared" ref="R19:R25" si="12">IF(P$12=0,0,P19/P$12)</f>
        <v>0</v>
      </c>
      <c r="S19" s="22"/>
      <c r="T19" s="22">
        <f>SUM(OSRRefT22x_0)</f>
        <v>9009</v>
      </c>
      <c r="U19" s="22"/>
      <c r="V19" s="32">
        <f t="shared" ref="V19:V25" si="13">IF(T$12=0,0,T19/T$12)</f>
        <v>0</v>
      </c>
      <c r="W19" s="4"/>
      <c r="X19" s="22">
        <f t="shared" ref="X19:X25" si="14">+P19-T19</f>
        <v>3627.869999999999</v>
      </c>
      <c r="Y19" s="4"/>
      <c r="Z19" s="32">
        <f t="shared" ref="Z19:Z25" si="15">IF(T19=0,0,X19/T19)</f>
        <v>0.40269397269397256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3"/>
      <c r="P20" s="1">
        <f>SUM(OSRRefP22_0x_0)</f>
        <v>1420.5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1420.5</v>
      </c>
      <c r="Y20" s="1"/>
      <c r="Z20" s="5">
        <f t="shared" si="15"/>
        <v>0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>
        <v>171.54</v>
      </c>
      <c r="Q21" s="2"/>
      <c r="R21" s="6">
        <f t="shared" si="12"/>
        <v>0</v>
      </c>
      <c r="S21" s="2"/>
      <c r="T21" s="7"/>
      <c r="U21" s="2"/>
      <c r="V21" s="6">
        <f t="shared" si="13"/>
        <v>0</v>
      </c>
      <c r="W21" s="2"/>
      <c r="X21" s="7">
        <f t="shared" si="14"/>
        <v>171.54</v>
      </c>
      <c r="Y21" s="2"/>
      <c r="Z21" s="6">
        <f t="shared" si="15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>
        <v>699.3</v>
      </c>
      <c r="Q22" s="2"/>
      <c r="R22" s="6">
        <f t="shared" si="12"/>
        <v>0</v>
      </c>
      <c r="S22" s="2"/>
      <c r="T22" s="7"/>
      <c r="U22" s="2"/>
      <c r="V22" s="6">
        <f t="shared" si="13"/>
        <v>0</v>
      </c>
      <c r="W22" s="2"/>
      <c r="X22" s="7">
        <f t="shared" si="14"/>
        <v>699.3</v>
      </c>
      <c r="Y22" s="2"/>
      <c r="Z22" s="6">
        <f t="shared" si="15"/>
        <v>0</v>
      </c>
    </row>
    <row r="23" spans="1:26" s="24" customFormat="1" hidden="1" outlineLevel="2" x14ac:dyDescent="0.25">
      <c r="A23" s="26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>
        <v>355.22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355.22</v>
      </c>
      <c r="Y23" s="2"/>
      <c r="Z23" s="6">
        <f t="shared" si="15"/>
        <v>0</v>
      </c>
    </row>
    <row r="24" spans="1:26" s="24" customFormat="1" hidden="1" outlineLevel="2" x14ac:dyDescent="0.25">
      <c r="A24" s="26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>
        <v>88.46</v>
      </c>
      <c r="Q24" s="2"/>
      <c r="R24" s="6">
        <f t="shared" si="12"/>
        <v>0</v>
      </c>
      <c r="S24" s="2"/>
      <c r="T24" s="7"/>
      <c r="U24" s="2"/>
      <c r="V24" s="6">
        <f t="shared" si="13"/>
        <v>0</v>
      </c>
      <c r="W24" s="2"/>
      <c r="X24" s="7">
        <f t="shared" si="14"/>
        <v>88.46</v>
      </c>
      <c r="Y24" s="2"/>
      <c r="Z24" s="6">
        <f t="shared" si="15"/>
        <v>0</v>
      </c>
    </row>
    <row r="25" spans="1:26" s="24" customFormat="1" hidden="1" outlineLevel="2" x14ac:dyDescent="0.25">
      <c r="A25" s="26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>
        <v>105.98</v>
      </c>
      <c r="Q25" s="2"/>
      <c r="R25" s="6">
        <f t="shared" si="12"/>
        <v>0</v>
      </c>
      <c r="S25" s="2"/>
      <c r="T25" s="7"/>
      <c r="U25" s="2"/>
      <c r="V25" s="6">
        <f t="shared" si="13"/>
        <v>0</v>
      </c>
      <c r="W25" s="2"/>
      <c r="X25" s="7">
        <f t="shared" si="14"/>
        <v>105.98</v>
      </c>
      <c r="Y25" s="2"/>
      <c r="Z25" s="6">
        <f t="shared" si="15"/>
        <v>0</v>
      </c>
    </row>
    <row r="26" spans="1:26" s="25" customFormat="1" outlineLevel="1" collapsed="1" x14ac:dyDescent="0.25">
      <c r="A26" s="27"/>
      <c r="B26" s="13" t="str">
        <f>CONCATENATE("     ","*Payroll                                          ")</f>
        <v xml:space="preserve">     *Payroll                                          </v>
      </c>
      <c r="C26" s="13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3"/>
      <c r="P26" s="1">
        <f>SUM(OSRRefP22_1x_0)</f>
        <v>1378.61</v>
      </c>
      <c r="Q26" s="1"/>
      <c r="R26" s="5">
        <f t="shared" ref="R26:R34" si="20">IF(P$12=0,0,P26/P$12)</f>
        <v>0</v>
      </c>
      <c r="S26" s="1"/>
      <c r="T26" s="1">
        <f>SUM(OSRRefT22_1x_0)</f>
        <v>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1378.61</v>
      </c>
      <c r="Y26" s="1"/>
      <c r="Z26" s="5">
        <f t="shared" ref="Z26:Z34" si="23">IF(T26=0,0,X26/T26)</f>
        <v>0</v>
      </c>
    </row>
    <row r="27" spans="1:26" s="24" customFormat="1" hidden="1" outlineLevel="2" x14ac:dyDescent="0.25">
      <c r="A27" s="26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>
        <v>1378.61</v>
      </c>
      <c r="Q27" s="2"/>
      <c r="R27" s="6">
        <f t="shared" si="20"/>
        <v>0</v>
      </c>
      <c r="S27" s="2"/>
      <c r="T27" s="7"/>
      <c r="U27" s="2"/>
      <c r="V27" s="6">
        <f t="shared" si="21"/>
        <v>0</v>
      </c>
      <c r="W27" s="2"/>
      <c r="X27" s="7">
        <f t="shared" si="22"/>
        <v>1378.61</v>
      </c>
      <c r="Y27" s="2"/>
      <c r="Z27" s="6">
        <f t="shared" si="23"/>
        <v>0</v>
      </c>
    </row>
    <row r="28" spans="1:26" s="25" customFormat="1" outlineLevel="1" collapsed="1" x14ac:dyDescent="0.25">
      <c r="A28" s="27"/>
      <c r="B28" s="13" t="str">
        <f>CONCATENATE("     ","Depreciation                                      ")</f>
        <v xml:space="preserve">     Depreciation                                      </v>
      </c>
      <c r="C28" s="13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1001</v>
      </c>
      <c r="I28" s="1"/>
      <c r="J28" s="5">
        <f t="shared" si="17"/>
        <v>0</v>
      </c>
      <c r="K28" s="1"/>
      <c r="L28" s="1">
        <f t="shared" si="18"/>
        <v>-9.0000000000031832E-2</v>
      </c>
      <c r="M28" s="1"/>
      <c r="N28" s="5">
        <f t="shared" si="19"/>
        <v>-8.9910089910121704E-5</v>
      </c>
      <c r="O28" s="13"/>
      <c r="P28" s="1">
        <f>SUM(OSRRefP22_2x_0)</f>
        <v>9008.19</v>
      </c>
      <c r="Q28" s="1"/>
      <c r="R28" s="5">
        <f t="shared" si="20"/>
        <v>0</v>
      </c>
      <c r="S28" s="1"/>
      <c r="T28" s="1">
        <f>SUM(OSRRefT22_2x_0)</f>
        <v>9009</v>
      </c>
      <c r="U28" s="1"/>
      <c r="V28" s="5">
        <f t="shared" si="21"/>
        <v>0</v>
      </c>
      <c r="W28" s="1"/>
      <c r="X28" s="1">
        <f t="shared" si="22"/>
        <v>-0.80999999999949068</v>
      </c>
      <c r="Y28" s="1"/>
      <c r="Z28" s="5">
        <f t="shared" si="23"/>
        <v>-8.9910089910033382E-5</v>
      </c>
    </row>
    <row r="29" spans="1:26" s="24" customFormat="1" hidden="1" outlineLevel="2" x14ac:dyDescent="0.25">
      <c r="A29" s="26"/>
      <c r="B29" s="11" t="str">
        <f>CONCATENATE("          ", "6322", " - ", "EQUIPMENT DEPRECIATION EXPENSE")</f>
        <v xml:space="preserve">          6322 - EQUIPMENT DEPRECIATION EXPENSE</v>
      </c>
      <c r="C29" s="11"/>
      <c r="D29" s="7">
        <v>1000.91</v>
      </c>
      <c r="E29" s="2"/>
      <c r="F29" s="6">
        <f t="shared" si="16"/>
        <v>0</v>
      </c>
      <c r="G29" s="2"/>
      <c r="H29" s="7">
        <v>1001</v>
      </c>
      <c r="I29" s="2"/>
      <c r="J29" s="6">
        <f t="shared" si="17"/>
        <v>0</v>
      </c>
      <c r="K29" s="2"/>
      <c r="L29" s="7">
        <f t="shared" si="18"/>
        <v>-9.0000000000031832E-2</v>
      </c>
      <c r="M29" s="2"/>
      <c r="N29" s="6">
        <f t="shared" si="19"/>
        <v>-8.9910089910121704E-5</v>
      </c>
      <c r="O29" s="11"/>
      <c r="P29" s="7">
        <v>9008.19</v>
      </c>
      <c r="Q29" s="2"/>
      <c r="R29" s="6">
        <f t="shared" si="20"/>
        <v>0</v>
      </c>
      <c r="S29" s="2"/>
      <c r="T29" s="7">
        <v>9009</v>
      </c>
      <c r="U29" s="2"/>
      <c r="V29" s="6">
        <f t="shared" si="21"/>
        <v>0</v>
      </c>
      <c r="W29" s="2"/>
      <c r="X29" s="7">
        <f t="shared" si="22"/>
        <v>-0.80999999999949068</v>
      </c>
      <c r="Y29" s="2"/>
      <c r="Z29" s="6">
        <f t="shared" si="23"/>
        <v>-8.9910089910033382E-5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3"/>
      <c r="P30" s="1">
        <f>SUM(OSRRefP22_3x_0)</f>
        <v>455</v>
      </c>
      <c r="Q30" s="1"/>
      <c r="R30" s="5">
        <f t="shared" si="20"/>
        <v>0</v>
      </c>
      <c r="S30" s="1"/>
      <c r="T30" s="1">
        <f>SUM(OSRRefT22_3x_0)</f>
        <v>0</v>
      </c>
      <c r="U30" s="1"/>
      <c r="V30" s="5">
        <f t="shared" si="21"/>
        <v>0</v>
      </c>
      <c r="W30" s="1"/>
      <c r="X30" s="1">
        <f t="shared" si="22"/>
        <v>455</v>
      </c>
      <c r="Y30" s="1"/>
      <c r="Z30" s="5">
        <f t="shared" si="23"/>
        <v>0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455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455</v>
      </c>
      <c r="Y31" s="2"/>
      <c r="Z31" s="6">
        <f t="shared" si="23"/>
        <v>0</v>
      </c>
    </row>
    <row r="32" spans="1:26" s="25" customFormat="1" outlineLevel="1" collapsed="1" x14ac:dyDescent="0.25">
      <c r="A32" s="27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3"/>
      <c r="P32" s="1">
        <f>SUM(OSRRefP22_4x_0)</f>
        <v>242.03</v>
      </c>
      <c r="Q32" s="1"/>
      <c r="R32" s="5">
        <f t="shared" si="20"/>
        <v>0</v>
      </c>
      <c r="S32" s="1"/>
      <c r="T32" s="1">
        <f>SUM(OSRRefT22_4x_0)</f>
        <v>0</v>
      </c>
      <c r="U32" s="1"/>
      <c r="V32" s="5">
        <f t="shared" si="21"/>
        <v>0</v>
      </c>
      <c r="W32" s="1"/>
      <c r="X32" s="1">
        <f t="shared" si="22"/>
        <v>242.03</v>
      </c>
      <c r="Y32" s="1"/>
      <c r="Z32" s="5">
        <f t="shared" si="23"/>
        <v>0</v>
      </c>
    </row>
    <row r="33" spans="1:26" s="24" customFormat="1" hidden="1" outlineLevel="2" x14ac:dyDescent="0.25">
      <c r="A33" s="26"/>
      <c r="B33" s="11" t="str">
        <f>CONCATENATE("          ", "6373", " - ", "MAINTENANCE CONTRACTS")</f>
        <v xml:space="preserve">          6373 - MAINTENANCE CONTRACTS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235.8</v>
      </c>
      <c r="Q33" s="2"/>
      <c r="R33" s="6">
        <f t="shared" si="20"/>
        <v>0</v>
      </c>
      <c r="S33" s="2"/>
      <c r="T33" s="7"/>
      <c r="U33" s="2"/>
      <c r="V33" s="6">
        <f t="shared" si="21"/>
        <v>0</v>
      </c>
      <c r="W33" s="2"/>
      <c r="X33" s="7">
        <f t="shared" si="22"/>
        <v>235.8</v>
      </c>
      <c r="Y33" s="2"/>
      <c r="Z33" s="6">
        <f t="shared" si="23"/>
        <v>0</v>
      </c>
    </row>
    <row r="34" spans="1:26" s="24" customFormat="1" hidden="1" outlineLevel="2" x14ac:dyDescent="0.25">
      <c r="A34" s="26"/>
      <c r="B34" s="11" t="str">
        <f>CONCATENATE("          ", "6375", " - ", "OUTSIDE REPAIRS &amp; MAINTENANCE")</f>
        <v xml:space="preserve">          6375 - OUTSIDE REPAIRS &amp; MAINTENANCE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6.23</v>
      </c>
      <c r="Q34" s="2"/>
      <c r="R34" s="6">
        <f t="shared" si="20"/>
        <v>0</v>
      </c>
      <c r="S34" s="2"/>
      <c r="T34" s="7"/>
      <c r="U34" s="2"/>
      <c r="V34" s="6">
        <f t="shared" si="21"/>
        <v>0</v>
      </c>
      <c r="W34" s="2"/>
      <c r="X34" s="7">
        <f t="shared" si="22"/>
        <v>6.23</v>
      </c>
      <c r="Y34" s="2"/>
      <c r="Z34" s="6">
        <f t="shared" si="23"/>
        <v>0</v>
      </c>
    </row>
    <row r="35" spans="1:26" s="25" customFormat="1" outlineLevel="1" collapsed="1" x14ac:dyDescent="0.25">
      <c r="A35" s="27"/>
      <c r="B35" s="13" t="str">
        <f>CONCATENATE("     ","Telephone/Data Lines                              ")</f>
        <v xml:space="preserve">     Telephone/Data Lines                              </v>
      </c>
      <c r="C35" s="13"/>
      <c r="D35" s="1">
        <f>SUM(OSRRefD22_5x_0)</f>
        <v>0</v>
      </c>
      <c r="E35" s="1"/>
      <c r="F35" s="5">
        <f t="shared" ref="F35:F36" si="24">IF(D$12=0,0,D35/D$12)</f>
        <v>0</v>
      </c>
      <c r="G35" s="1"/>
      <c r="H35" s="1">
        <f>SUM(OSRRefH22_5x_0)</f>
        <v>0</v>
      </c>
      <c r="I35" s="1"/>
      <c r="J35" s="5">
        <f t="shared" ref="J35:J36" si="25">IF(H$12=0,0,H35/H$12)</f>
        <v>0</v>
      </c>
      <c r="K35" s="1"/>
      <c r="L35" s="1">
        <f t="shared" ref="L35:L36" si="26">+D35-H35</f>
        <v>0</v>
      </c>
      <c r="M35" s="1"/>
      <c r="N35" s="5">
        <f t="shared" ref="N35:N36" si="27">IF(H35=0,0,L35/H35)</f>
        <v>0</v>
      </c>
      <c r="O35" s="13"/>
      <c r="P35" s="1">
        <f>SUM(OSRRefP22_5x_0)</f>
        <v>132.54</v>
      </c>
      <c r="Q35" s="1"/>
      <c r="R35" s="5">
        <f t="shared" ref="R35:R36" si="28">IF(P$12=0,0,P35/P$12)</f>
        <v>0</v>
      </c>
      <c r="S35" s="1"/>
      <c r="T35" s="1">
        <f>SUM(OSRRefT22_5x_0)</f>
        <v>0</v>
      </c>
      <c r="U35" s="1"/>
      <c r="V35" s="5">
        <f t="shared" ref="V35:V36" si="29">IF(T$12=0,0,T35/T$12)</f>
        <v>0</v>
      </c>
      <c r="W35" s="1"/>
      <c r="X35" s="1">
        <f t="shared" ref="X35:X36" si="30">+P35-T35</f>
        <v>132.54</v>
      </c>
      <c r="Y35" s="1"/>
      <c r="Z35" s="5">
        <f t="shared" ref="Z35:Z36" si="31">IF(T35=0,0,X35/T35)</f>
        <v>0</v>
      </c>
    </row>
    <row r="36" spans="1:26" s="24" customFormat="1" hidden="1" outlineLevel="2" x14ac:dyDescent="0.25">
      <c r="A36" s="26"/>
      <c r="B36" s="11" t="str">
        <f>CONCATENATE("          ", "6309", " - ", "TELEPHONE")</f>
        <v xml:space="preserve">          6309 - TELEPHONE</v>
      </c>
      <c r="C36" s="11"/>
      <c r="D36" s="7"/>
      <c r="E36" s="2"/>
      <c r="F36" s="6">
        <f t="shared" si="24"/>
        <v>0</v>
      </c>
      <c r="G36" s="2"/>
      <c r="H36" s="7"/>
      <c r="I36" s="2"/>
      <c r="J36" s="6">
        <f t="shared" si="25"/>
        <v>0</v>
      </c>
      <c r="K36" s="2"/>
      <c r="L36" s="7">
        <f t="shared" si="26"/>
        <v>0</v>
      </c>
      <c r="M36" s="2"/>
      <c r="N36" s="6">
        <f t="shared" si="27"/>
        <v>0</v>
      </c>
      <c r="O36" s="11"/>
      <c r="P36" s="7">
        <v>132.54</v>
      </c>
      <c r="Q36" s="2"/>
      <c r="R36" s="6">
        <f t="shared" si="28"/>
        <v>0</v>
      </c>
      <c r="S36" s="2"/>
      <c r="T36" s="7"/>
      <c r="U36" s="2"/>
      <c r="V36" s="6">
        <f t="shared" si="29"/>
        <v>0</v>
      </c>
      <c r="W36" s="2"/>
      <c r="X36" s="7">
        <f t="shared" si="30"/>
        <v>132.54</v>
      </c>
      <c r="Y36" s="2"/>
      <c r="Z36" s="6">
        <f t="shared" si="31"/>
        <v>0</v>
      </c>
    </row>
    <row r="37" spans="1:26" s="59" customFormat="1" x14ac:dyDescent="0.25">
      <c r="A37" s="36"/>
      <c r="B37" s="36"/>
      <c r="C37" s="36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293</v>
      </c>
      <c r="C38" s="10"/>
      <c r="D38" s="4">
        <f>SUM(0)</f>
        <v>0</v>
      </c>
      <c r="E38" s="4"/>
      <c r="F38" s="12">
        <f>IF(D$12=0,0,D38/D$12)</f>
        <v>0</v>
      </c>
      <c r="G38" s="4"/>
      <c r="H38" s="4">
        <f>SUM(0)</f>
        <v>0</v>
      </c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>
        <f>SUM(0)</f>
        <v>0</v>
      </c>
      <c r="Q38" s="4"/>
      <c r="R38" s="12">
        <f>IF(P$12=0,0,P38/P$12)</f>
        <v>0</v>
      </c>
      <c r="S38" s="4"/>
      <c r="T38" s="4">
        <f>SUM(0)</f>
        <v>0</v>
      </c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9" t="s">
        <v>277</v>
      </c>
      <c r="C40" s="29"/>
      <c r="D40" s="20">
        <f>+D17-D19+D38</f>
        <v>5592.49</v>
      </c>
      <c r="E40" s="14"/>
      <c r="F40" s="21">
        <f>IF(D$12=0,0,D40/D$12)</f>
        <v>0</v>
      </c>
      <c r="G40" s="14"/>
      <c r="H40" s="20">
        <f>+H17-H19+H38</f>
        <v>-1001</v>
      </c>
      <c r="I40" s="14"/>
      <c r="J40" s="21">
        <f>IF(H$12=0,0,H40/H$12)</f>
        <v>0</v>
      </c>
      <c r="K40" s="16"/>
      <c r="L40" s="20">
        <f>+D40-H40</f>
        <v>6593.49</v>
      </c>
      <c r="M40" s="16"/>
      <c r="N40" s="21">
        <f>IF(H40=0,0,L40/H40)</f>
        <v>-6.5869030969030966</v>
      </c>
      <c r="O40" s="28"/>
      <c r="P40" s="20">
        <f>+P17-P19+P38</f>
        <v>-6043.4699999999993</v>
      </c>
      <c r="Q40" s="14"/>
      <c r="R40" s="21">
        <f>IF(P$12=0,0,P40/P$12)</f>
        <v>0</v>
      </c>
      <c r="S40" s="14"/>
      <c r="T40" s="20">
        <f>+T17-T19+T38</f>
        <v>-9009</v>
      </c>
      <c r="U40" s="14"/>
      <c r="V40" s="21">
        <f>IF(T$12=0,0,T40/T$12)</f>
        <v>0</v>
      </c>
      <c r="W40" s="16"/>
      <c r="X40" s="20">
        <f>+P40-T40</f>
        <v>2965.5300000000007</v>
      </c>
      <c r="Y40" s="16"/>
      <c r="Z40" s="21">
        <f>IF(T40=0,0,X40/T40)</f>
        <v>-0.32917415917415926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52"/>
      <c r="B42" s="10" t="s">
        <v>128</v>
      </c>
      <c r="C42" s="10"/>
      <c r="D42" s="4"/>
      <c r="E42" s="4"/>
      <c r="F42" s="12">
        <f>IF(D$12=0,0,D42/D$12)</f>
        <v>0</v>
      </c>
      <c r="G42" s="4"/>
      <c r="H42" s="4"/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/>
      <c r="Q42" s="4"/>
      <c r="R42" s="12">
        <f>IF(P$12=0,0,P42/P$12)</f>
        <v>0</v>
      </c>
      <c r="S42" s="4"/>
      <c r="T42" s="4"/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9" t="s">
        <v>126</v>
      </c>
      <c r="C44" s="29"/>
      <c r="D44" s="34">
        <f>+D40-D42</f>
        <v>5592.49</v>
      </c>
      <c r="E44" s="14"/>
      <c r="F44" s="30">
        <f>IF(D$12=0,0,D44/D$12)</f>
        <v>0</v>
      </c>
      <c r="G44" s="14"/>
      <c r="H44" s="34">
        <f>+H40-H42</f>
        <v>-1001</v>
      </c>
      <c r="I44" s="14"/>
      <c r="J44" s="30">
        <f>IF(H$12=0,0,H44/H$12)</f>
        <v>0</v>
      </c>
      <c r="K44" s="16"/>
      <c r="L44" s="34">
        <f>D44-H44</f>
        <v>6593.49</v>
      </c>
      <c r="M44" s="16"/>
      <c r="N44" s="30">
        <f>IF(H44=0,0,L44/H44)</f>
        <v>-6.5869030969030966</v>
      </c>
      <c r="O44" s="28"/>
      <c r="P44" s="34">
        <f>+P40-P42</f>
        <v>-6043.4699999999993</v>
      </c>
      <c r="Q44" s="14"/>
      <c r="R44" s="30">
        <f>IF(P$12=0,0,P44/P$12)</f>
        <v>0</v>
      </c>
      <c r="S44" s="14"/>
      <c r="T44" s="34">
        <f>+T40-T42</f>
        <v>-9009</v>
      </c>
      <c r="U44" s="14"/>
      <c r="V44" s="30">
        <f>IF(T$12=0,0,T44/T$12)</f>
        <v>0</v>
      </c>
      <c r="W44" s="16"/>
      <c r="X44" s="34">
        <f>P44-T44</f>
        <v>2965.5300000000007</v>
      </c>
      <c r="Y44" s="16"/>
      <c r="Z44" s="30">
        <f>IF(T44=0,0,X44/T44)</f>
        <v>-0.32917415917415926</v>
      </c>
    </row>
    <row r="45" spans="1:26" ht="15.75" thickTop="1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9" t="s">
        <v>294</v>
      </c>
      <c r="C47" s="29"/>
      <c r="D47" s="31">
        <f>SUM(D44:D46)</f>
        <v>5592.49</v>
      </c>
      <c r="E47" s="14"/>
      <c r="F47" s="35">
        <f>IF(D$12=0,0,D47/D$12)</f>
        <v>0</v>
      </c>
      <c r="G47" s="14"/>
      <c r="H47" s="31">
        <f>SUM(H44:H46)</f>
        <v>-1001</v>
      </c>
      <c r="I47" s="14"/>
      <c r="J47" s="35">
        <f>IF(H$12=0,0,H47/H$12)</f>
        <v>0</v>
      </c>
      <c r="K47" s="16"/>
      <c r="L47" s="31">
        <f>+D47-H47</f>
        <v>6593.49</v>
      </c>
      <c r="M47" s="16"/>
      <c r="N47" s="35">
        <f>IF(H47=0,0,L47/H47)</f>
        <v>-6.5869030969030966</v>
      </c>
      <c r="O47" s="28"/>
      <c r="P47" s="31">
        <f>SUM(P44:P46)</f>
        <v>-6043.4699999999993</v>
      </c>
      <c r="Q47" s="14"/>
      <c r="R47" s="35">
        <f>IF(P$12=0,0,P47/P$12)</f>
        <v>0</v>
      </c>
      <c r="S47" s="14"/>
      <c r="T47" s="31">
        <f>SUM(T44:T46)</f>
        <v>-9009</v>
      </c>
      <c r="U47" s="14"/>
      <c r="V47" s="35">
        <f>IF(T$12=0,0,T47/T$12)</f>
        <v>0</v>
      </c>
      <c r="W47" s="16"/>
      <c r="X47" s="31">
        <f>+P47-T47</f>
        <v>2965.5300000000007</v>
      </c>
      <c r="Y47" s="16"/>
      <c r="Z47" s="35">
        <f>IF(T47=0,0,X47/T47)</f>
        <v>-0.32917415917415926</v>
      </c>
    </row>
    <row r="48" spans="1:26" ht="15.75" thickTop="1" x14ac:dyDescent="0.25">
      <c r="A48" s="9"/>
      <c r="C48" s="9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25">
      <c r="A49" s="9"/>
      <c r="B49" s="56">
        <v>44295.961797766206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25">
      <c r="A50" s="9"/>
      <c r="B50" s="53" t="s">
        <v>56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25">
      <c r="A51" s="9"/>
      <c r="B51" s="54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25"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","455", " - ", "Vending")</f>
        <v>Department 455 - Vending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8" t="s">
        <v>293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0</v>
      </c>
      <c r="M20" s="4"/>
      <c r="N20" s="12">
        <f t="shared" ref="N20:N22" si="3">IF(H20=0,0,L20/H20)</f>
        <v>0</v>
      </c>
      <c r="O20" s="10"/>
      <c r="P20" s="4">
        <f>SUM(OSRRefP25x_0)</f>
        <v>15204.82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15204.82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0</v>
      </c>
      <c r="M21" s="2"/>
      <c r="N21" s="19">
        <f t="shared" si="3"/>
        <v>0</v>
      </c>
      <c r="O21" s="11"/>
      <c r="P21" s="2">
        <f>--12066.61</f>
        <v>12066.61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12066.61</v>
      </c>
      <c r="Y21" s="2"/>
      <c r="Z21" s="19">
        <f t="shared" si="7"/>
        <v>0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0</v>
      </c>
      <c r="M22" s="2"/>
      <c r="N22" s="19">
        <f t="shared" si="3"/>
        <v>0</v>
      </c>
      <c r="O22" s="11"/>
      <c r="P22" s="2">
        <f>--3138.21</f>
        <v>3138.21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3138.21</v>
      </c>
      <c r="Y22" s="2"/>
      <c r="Z22" s="19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277</v>
      </c>
      <c r="C24" s="29"/>
      <c r="D24" s="20">
        <f>+D16-D18+D20</f>
        <v>0</v>
      </c>
      <c r="E24" s="14"/>
      <c r="F24" s="21">
        <f>IF(D$12=0,0,D24/D$12)</f>
        <v>0</v>
      </c>
      <c r="G24" s="14"/>
      <c r="H24" s="20">
        <f>+H16-H18+H20</f>
        <v>0</v>
      </c>
      <c r="I24" s="14"/>
      <c r="J24" s="21">
        <f>IF(H$12=0,0,H24/H$12)</f>
        <v>0</v>
      </c>
      <c r="K24" s="16"/>
      <c r="L24" s="20">
        <f>+D24-H24</f>
        <v>0</v>
      </c>
      <c r="M24" s="16"/>
      <c r="N24" s="21">
        <f>IF(H24=0,0,L24/H24)</f>
        <v>0</v>
      </c>
      <c r="O24" s="28"/>
      <c r="P24" s="20">
        <f>+P16-P18+P20</f>
        <v>15204.82</v>
      </c>
      <c r="Q24" s="14"/>
      <c r="R24" s="21">
        <f>IF(P$12=0,0,P24/P$12)</f>
        <v>0</v>
      </c>
      <c r="S24" s="14"/>
      <c r="T24" s="20">
        <f>+T16-T18+T20</f>
        <v>0</v>
      </c>
      <c r="U24" s="14"/>
      <c r="V24" s="21">
        <f>IF(T$12=0,0,T24/T$12)</f>
        <v>0</v>
      </c>
      <c r="W24" s="16"/>
      <c r="X24" s="20">
        <f>+P24-T24</f>
        <v>15204.82</v>
      </c>
      <c r="Y24" s="16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126</v>
      </c>
      <c r="C28" s="29"/>
      <c r="D28" s="34">
        <f>+D24-D26</f>
        <v>0</v>
      </c>
      <c r="E28" s="14"/>
      <c r="F28" s="30">
        <f>IF(D$12=0,0,D28/D$12)</f>
        <v>0</v>
      </c>
      <c r="G28" s="14"/>
      <c r="H28" s="34">
        <f>+H24-H26</f>
        <v>0</v>
      </c>
      <c r="I28" s="14"/>
      <c r="J28" s="30">
        <f>IF(H$12=0,0,H28/H$12)</f>
        <v>0</v>
      </c>
      <c r="K28" s="16"/>
      <c r="L28" s="34">
        <f>D28-H28</f>
        <v>0</v>
      </c>
      <c r="M28" s="16"/>
      <c r="N28" s="30">
        <f>IF(H28=0,0,L28/H28)</f>
        <v>0</v>
      </c>
      <c r="O28" s="28"/>
      <c r="P28" s="34">
        <f>+P24-P26</f>
        <v>15204.82</v>
      </c>
      <c r="Q28" s="14"/>
      <c r="R28" s="30">
        <f>IF(P$12=0,0,P28/P$12)</f>
        <v>0</v>
      </c>
      <c r="S28" s="14"/>
      <c r="T28" s="34">
        <f>+T24-T26</f>
        <v>0</v>
      </c>
      <c r="U28" s="14"/>
      <c r="V28" s="30">
        <f>IF(T$12=0,0,T28/T$12)</f>
        <v>0</v>
      </c>
      <c r="W28" s="16"/>
      <c r="X28" s="34">
        <f>P28-T28</f>
        <v>15204.82</v>
      </c>
      <c r="Y28" s="16"/>
      <c r="Z28" s="30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294</v>
      </c>
      <c r="C31" s="29"/>
      <c r="D31" s="31">
        <f>SUM(D28:D30)</f>
        <v>0</v>
      </c>
      <c r="E31" s="14"/>
      <c r="F31" s="35">
        <f>IF(D$12=0,0,D31/D$12)</f>
        <v>0</v>
      </c>
      <c r="G31" s="14"/>
      <c r="H31" s="31">
        <f>SUM(H28:H30)</f>
        <v>0</v>
      </c>
      <c r="I31" s="14"/>
      <c r="J31" s="35">
        <f>IF(H$12=0,0,H31/H$12)</f>
        <v>0</v>
      </c>
      <c r="K31" s="16"/>
      <c r="L31" s="31">
        <f>+D31-H31</f>
        <v>0</v>
      </c>
      <c r="M31" s="16"/>
      <c r="N31" s="35">
        <f>IF(H31=0,0,L31/H31)</f>
        <v>0</v>
      </c>
      <c r="O31" s="28"/>
      <c r="P31" s="31">
        <f>SUM(P28:P30)</f>
        <v>15204.82</v>
      </c>
      <c r="Q31" s="14"/>
      <c r="R31" s="35">
        <f>IF(P$12=0,0,P31/P$12)</f>
        <v>0</v>
      </c>
      <c r="S31" s="14"/>
      <c r="T31" s="31">
        <f>SUM(T28:T30)</f>
        <v>0</v>
      </c>
      <c r="U31" s="14"/>
      <c r="V31" s="35">
        <f>IF(T$12=0,0,T31/T$12)</f>
        <v>0</v>
      </c>
      <c r="W31" s="16"/>
      <c r="X31" s="31">
        <f>+P31-T31</f>
        <v>15204.82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44295.961797766206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91796.739999999991</v>
      </c>
      <c r="E12" s="4"/>
      <c r="F12" s="12"/>
      <c r="G12" s="4"/>
      <c r="H12" s="4">
        <f>SUM(OSRRefH13x_0)</f>
        <v>501219</v>
      </c>
      <c r="I12" s="4"/>
      <c r="J12" s="12"/>
      <c r="K12" s="4"/>
      <c r="L12" s="4">
        <f t="shared" ref="L12:L16" si="0">+D12-H12</f>
        <v>-409422.26</v>
      </c>
      <c r="M12" s="4"/>
      <c r="N12" s="12">
        <f t="shared" ref="N12:N16" si="1">IF(H12=0,0,L12/H12)</f>
        <v>-0.81685303230723494</v>
      </c>
      <c r="O12" s="10"/>
      <c r="P12" s="4">
        <f>SUM(OSRRefP13x_0)</f>
        <v>851190.11</v>
      </c>
      <c r="Q12" s="4"/>
      <c r="R12" s="12"/>
      <c r="S12" s="4"/>
      <c r="T12" s="4">
        <f>SUM(OSRRefT13x_0)</f>
        <v>3146512</v>
      </c>
      <c r="U12" s="4"/>
      <c r="V12" s="12"/>
      <c r="W12" s="4"/>
      <c r="X12" s="4">
        <f t="shared" ref="X12:X16" si="2">+P12-T12</f>
        <v>-2295321.89</v>
      </c>
      <c r="Y12" s="4"/>
      <c r="Z12" s="12">
        <f t="shared" ref="Z12:Z16" si="3">IF(T12=0,0,X12/T12)</f>
        <v>-0.72948137175386596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--163.51</f>
        <v>163.51</v>
      </c>
      <c r="E13" s="2"/>
      <c r="F13" s="19"/>
      <c r="G13" s="2"/>
      <c r="H13" s="2"/>
      <c r="I13" s="2"/>
      <c r="J13" s="19"/>
      <c r="K13" s="2"/>
      <c r="L13" s="2">
        <f t="shared" si="0"/>
        <v>163.51</v>
      </c>
      <c r="M13" s="2"/>
      <c r="N13" s="19">
        <f t="shared" si="1"/>
        <v>0</v>
      </c>
      <c r="O13" s="11"/>
      <c r="P13" s="2">
        <f>--923.72</f>
        <v>923.72</v>
      </c>
      <c r="Q13" s="2"/>
      <c r="R13" s="19"/>
      <c r="S13" s="2"/>
      <c r="T13" s="2"/>
      <c r="U13" s="2"/>
      <c r="V13" s="19"/>
      <c r="W13" s="2"/>
      <c r="X13" s="2">
        <f t="shared" si="2"/>
        <v>923.72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501219</v>
      </c>
      <c r="I14" s="2"/>
      <c r="J14" s="19"/>
      <c r="K14" s="2"/>
      <c r="L14" s="2">
        <f t="shared" si="0"/>
        <v>-501219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3146512</v>
      </c>
      <c r="U14" s="2"/>
      <c r="V14" s="19"/>
      <c r="W14" s="2"/>
      <c r="X14" s="2">
        <f t="shared" si="2"/>
        <v>-3146512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--86462.44</f>
        <v>86462.44</v>
      </c>
      <c r="E15" s="2"/>
      <c r="F15" s="19"/>
      <c r="G15" s="2"/>
      <c r="H15" s="2"/>
      <c r="I15" s="2"/>
      <c r="J15" s="19"/>
      <c r="K15" s="2"/>
      <c r="L15" s="2">
        <f t="shared" si="0"/>
        <v>86462.44</v>
      </c>
      <c r="M15" s="2"/>
      <c r="N15" s="19">
        <f t="shared" si="1"/>
        <v>0</v>
      </c>
      <c r="O15" s="11"/>
      <c r="P15" s="2">
        <f>--807261.03</f>
        <v>807261.03</v>
      </c>
      <c r="Q15" s="2"/>
      <c r="R15" s="19"/>
      <c r="S15" s="2"/>
      <c r="T15" s="2"/>
      <c r="U15" s="2"/>
      <c r="V15" s="19"/>
      <c r="W15" s="2"/>
      <c r="X15" s="2">
        <f t="shared" si="2"/>
        <v>807261.03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--5170.79</f>
        <v>5170.79</v>
      </c>
      <c r="E16" s="2"/>
      <c r="F16" s="19"/>
      <c r="G16" s="2"/>
      <c r="H16" s="2"/>
      <c r="I16" s="2"/>
      <c r="J16" s="19"/>
      <c r="K16" s="2"/>
      <c r="L16" s="2">
        <f t="shared" si="0"/>
        <v>5170.79</v>
      </c>
      <c r="M16" s="2"/>
      <c r="N16" s="19">
        <f t="shared" si="1"/>
        <v>0</v>
      </c>
      <c r="O16" s="11"/>
      <c r="P16" s="2">
        <f>--43005.36</f>
        <v>43005.36</v>
      </c>
      <c r="Q16" s="2"/>
      <c r="R16" s="19"/>
      <c r="S16" s="2"/>
      <c r="T16" s="2"/>
      <c r="U16" s="2"/>
      <c r="V16" s="19"/>
      <c r="W16" s="2"/>
      <c r="X16" s="2">
        <f t="shared" si="2"/>
        <v>43005.36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257</v>
      </c>
      <c r="C18" s="10"/>
      <c r="D18" s="4">
        <f>SUM(OSRRefD16x_0)</f>
        <v>43894.04</v>
      </c>
      <c r="E18" s="4"/>
      <c r="F18" s="12">
        <f t="shared" ref="F18:F21" si="4">IF(D$12=0,0,D18/D$12)</f>
        <v>0.47816556448518766</v>
      </c>
      <c r="G18" s="4"/>
      <c r="H18" s="4">
        <f>SUM(OSRRefH16x_0)</f>
        <v>132813</v>
      </c>
      <c r="I18" s="4"/>
      <c r="J18" s="12">
        <f t="shared" ref="J18:J21" si="5">IF(H$12=0,0,H18/H$12)</f>
        <v>0.26497997881165719</v>
      </c>
      <c r="K18" s="4"/>
      <c r="L18" s="4">
        <f t="shared" ref="L18:L21" si="6">+D18-H18</f>
        <v>-88918.959999999992</v>
      </c>
      <c r="M18" s="4"/>
      <c r="N18" s="12">
        <f t="shared" ref="N18:N21" si="7">IF(H18=0,0,L18/H18)</f>
        <v>-0.66950494304021435</v>
      </c>
      <c r="O18" s="10"/>
      <c r="P18" s="4">
        <f>SUM(OSRRefP16x_0)</f>
        <v>368983.37</v>
      </c>
      <c r="Q18" s="4"/>
      <c r="R18" s="12">
        <f t="shared" ref="R18:R21" si="8">IF(P$12=0,0,P18/P$12)</f>
        <v>0.43349113865996397</v>
      </c>
      <c r="S18" s="4"/>
      <c r="T18" s="4">
        <f>SUM(OSRRefT16x_0)</f>
        <v>851299</v>
      </c>
      <c r="U18" s="4"/>
      <c r="V18" s="12">
        <f t="shared" ref="V18:V21" si="9">IF(T$12=0,0,T18/T$12)</f>
        <v>0.27055323482001659</v>
      </c>
      <c r="W18" s="4"/>
      <c r="X18" s="4">
        <f t="shared" ref="X18:X21" si="10">+P18-T18</f>
        <v>-482315.63</v>
      </c>
      <c r="Y18" s="4"/>
      <c r="Z18" s="12">
        <f t="shared" ref="Z18:Z21" si="11">IF(T18=0,0,X18/T18)</f>
        <v>-0.56656430936721414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132813</v>
      </c>
      <c r="I19" s="2"/>
      <c r="J19" s="19">
        <f t="shared" si="5"/>
        <v>0.26497997881165719</v>
      </c>
      <c r="K19" s="2"/>
      <c r="L19" s="2">
        <f t="shared" si="6"/>
        <v>-132813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851299</v>
      </c>
      <c r="U19" s="2"/>
      <c r="V19" s="19">
        <f t="shared" si="9"/>
        <v>0.27055323482001659</v>
      </c>
      <c r="W19" s="2"/>
      <c r="X19" s="2">
        <f t="shared" si="10"/>
        <v>-851299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38259.040000000001</v>
      </c>
      <c r="E20" s="2"/>
      <c r="F20" s="19">
        <f t="shared" si="4"/>
        <v>0.41677994229424709</v>
      </c>
      <c r="G20" s="2"/>
      <c r="H20" s="2"/>
      <c r="I20" s="2"/>
      <c r="J20" s="19">
        <f t="shared" si="5"/>
        <v>0</v>
      </c>
      <c r="K20" s="2"/>
      <c r="L20" s="2">
        <f t="shared" si="6"/>
        <v>38259.040000000001</v>
      </c>
      <c r="M20" s="2"/>
      <c r="N20" s="19">
        <f t="shared" si="7"/>
        <v>0</v>
      </c>
      <c r="O20" s="11"/>
      <c r="P20" s="2">
        <v>373258.07</v>
      </c>
      <c r="Q20" s="2"/>
      <c r="R20" s="19">
        <f t="shared" si="8"/>
        <v>0.43851316599531448</v>
      </c>
      <c r="S20" s="2"/>
      <c r="T20" s="2"/>
      <c r="U20" s="2"/>
      <c r="V20" s="19">
        <f t="shared" si="9"/>
        <v>0</v>
      </c>
      <c r="W20" s="2"/>
      <c r="X20" s="2">
        <f t="shared" si="10"/>
        <v>373258.07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5635</v>
      </c>
      <c r="E21" s="2"/>
      <c r="F21" s="19">
        <f t="shared" si="4"/>
        <v>6.1385622190940556E-2</v>
      </c>
      <c r="G21" s="2"/>
      <c r="H21" s="2"/>
      <c r="I21" s="2"/>
      <c r="J21" s="19">
        <f t="shared" si="5"/>
        <v>0</v>
      </c>
      <c r="K21" s="2"/>
      <c r="L21" s="2">
        <f t="shared" si="6"/>
        <v>5635</v>
      </c>
      <c r="M21" s="2"/>
      <c r="N21" s="19">
        <f t="shared" si="7"/>
        <v>0</v>
      </c>
      <c r="O21" s="11"/>
      <c r="P21" s="2">
        <v>-4274.7</v>
      </c>
      <c r="Q21" s="2"/>
      <c r="R21" s="19">
        <f t="shared" si="8"/>
        <v>-5.0220273353505009E-3</v>
      </c>
      <c r="S21" s="2"/>
      <c r="T21" s="2"/>
      <c r="U21" s="2"/>
      <c r="V21" s="19">
        <f t="shared" si="9"/>
        <v>0</v>
      </c>
      <c r="W21" s="2"/>
      <c r="X21" s="2">
        <f t="shared" si="10"/>
        <v>-4274.7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D12-D18</f>
        <v>47902.69999999999</v>
      </c>
      <c r="E23" s="14"/>
      <c r="F23" s="21">
        <f>IF(D$12=0,0,D23/D$12)</f>
        <v>0.52183443551481234</v>
      </c>
      <c r="G23" s="14"/>
      <c r="H23" s="20">
        <f>H12-H18</f>
        <v>368406</v>
      </c>
      <c r="I23" s="14"/>
      <c r="J23" s="21">
        <f>IF(H$12=0,0,H23/H$12)</f>
        <v>0.73502002118834286</v>
      </c>
      <c r="K23" s="16"/>
      <c r="L23" s="20">
        <f>+D23-H23</f>
        <v>-320503.3</v>
      </c>
      <c r="M23" s="16"/>
      <c r="N23" s="21">
        <f>IF(H23=0,0,L23/H23)</f>
        <v>-0.8699730731855615</v>
      </c>
      <c r="O23" s="28"/>
      <c r="P23" s="20">
        <f>P12-P18</f>
        <v>482206.74</v>
      </c>
      <c r="Q23" s="14"/>
      <c r="R23" s="21">
        <f>IF(P$12=0,0,P23/P$12)</f>
        <v>0.56650886134003597</v>
      </c>
      <c r="S23" s="14"/>
      <c r="T23" s="20">
        <f>T12-T18</f>
        <v>2295213</v>
      </c>
      <c r="U23" s="14"/>
      <c r="V23" s="21">
        <f>IF(T$12=0,0,T23/T$12)</f>
        <v>0.72944676517998341</v>
      </c>
      <c r="W23" s="16"/>
      <c r="X23" s="20">
        <f>+P23-T23</f>
        <v>-1813006.26</v>
      </c>
      <c r="Y23" s="16"/>
      <c r="Z23" s="21">
        <f>IF(T23=0,0,X23/T23)</f>
        <v>-0.78990762948798221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223862.61999999994</v>
      </c>
      <c r="E25" s="22"/>
      <c r="F25" s="32">
        <f t="shared" ref="F25:F36" si="12">IF(D$12=0,0,D25/D$12)</f>
        <v>2.4386772340717107</v>
      </c>
      <c r="G25" s="22"/>
      <c r="H25" s="22">
        <f>SUM(OSRRefH22x_0)</f>
        <v>368120.30082537612</v>
      </c>
      <c r="I25" s="22"/>
      <c r="J25" s="32">
        <f t="shared" ref="J25:J36" si="13">IF(H$12=0,0,H25/H$12)</f>
        <v>0.7344500125202279</v>
      </c>
      <c r="K25" s="4"/>
      <c r="L25" s="22">
        <f t="shared" ref="L25:L36" si="14">+D25-H25</f>
        <v>-144257.68082537618</v>
      </c>
      <c r="M25" s="4"/>
      <c r="N25" s="32">
        <f t="shared" ref="N25:N36" si="15">IF(H25=0,0,L25/H25)</f>
        <v>-0.39187646131422449</v>
      </c>
      <c r="O25" s="10"/>
      <c r="P25" s="22">
        <f>SUM(OSRRefP22x_0)</f>
        <v>2021365.7000000004</v>
      </c>
      <c r="Q25" s="22"/>
      <c r="R25" s="32">
        <f t="shared" ref="R25:R36" si="16">IF(P$12=0,0,P25/P$12)</f>
        <v>2.3747523335298157</v>
      </c>
      <c r="S25" s="22"/>
      <c r="T25" s="22">
        <f>SUM(OSRRefT22x_0)</f>
        <v>3282201.6395899802</v>
      </c>
      <c r="U25" s="22"/>
      <c r="V25" s="32">
        <f t="shared" ref="V25:V36" si="17">IF(T$12=0,0,T25/T$12)</f>
        <v>1.0431238271425567</v>
      </c>
      <c r="W25" s="4"/>
      <c r="X25" s="22">
        <f t="shared" ref="X25:X36" si="18">+P25-T25</f>
        <v>-1260835.9395899798</v>
      </c>
      <c r="Y25" s="4"/>
      <c r="Z25" s="32">
        <f t="shared" ref="Z25:Z36" si="19">IF(T25=0,0,X25/T25)</f>
        <v>-0.38414335194454602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75122.750000000015</v>
      </c>
      <c r="E26" s="1"/>
      <c r="F26" s="5">
        <f t="shared" si="12"/>
        <v>0.81835967159618106</v>
      </c>
      <c r="G26" s="1"/>
      <c r="H26" s="1">
        <f>SUM(OSRRefH22_0x_0)</f>
        <v>98595.490671914624</v>
      </c>
      <c r="I26" s="1"/>
      <c r="J26" s="5">
        <f t="shared" si="13"/>
        <v>0.1967113989531814</v>
      </c>
      <c r="K26" s="1"/>
      <c r="L26" s="1">
        <f t="shared" si="14"/>
        <v>-23472.740671914609</v>
      </c>
      <c r="M26" s="1"/>
      <c r="N26" s="5">
        <f t="shared" si="15"/>
        <v>-0.23807113806068747</v>
      </c>
      <c r="O26" s="13"/>
      <c r="P26" s="1">
        <f>SUM(OSRRefP22_0x_0)</f>
        <v>690400.58000000007</v>
      </c>
      <c r="Q26" s="1"/>
      <c r="R26" s="5">
        <f t="shared" si="16"/>
        <v>0.81110033104120549</v>
      </c>
      <c r="S26" s="1"/>
      <c r="T26" s="1">
        <f>SUM(OSRRefT22_0x_0)</f>
        <v>932839.34765997995</v>
      </c>
      <c r="U26" s="1"/>
      <c r="V26" s="5">
        <f t="shared" si="17"/>
        <v>0.29646775466293468</v>
      </c>
      <c r="W26" s="1"/>
      <c r="X26" s="1">
        <f t="shared" si="18"/>
        <v>-242438.76765997987</v>
      </c>
      <c r="Y26" s="1"/>
      <c r="Z26" s="5">
        <f t="shared" si="19"/>
        <v>-0.2598933763548199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7440.67</v>
      </c>
      <c r="E27" s="2"/>
      <c r="F27" s="6">
        <f t="shared" si="12"/>
        <v>8.1055928565654953E-2</v>
      </c>
      <c r="G27" s="2"/>
      <c r="H27" s="7">
        <v>10035.7691323569</v>
      </c>
      <c r="I27" s="2"/>
      <c r="J27" s="6">
        <f t="shared" si="13"/>
        <v>2.0022722866365601E-2</v>
      </c>
      <c r="K27" s="2"/>
      <c r="L27" s="7">
        <f t="shared" si="14"/>
        <v>-2595.0991323568996</v>
      </c>
      <c r="M27" s="2"/>
      <c r="N27" s="6">
        <f t="shared" si="15"/>
        <v>-0.25858497720816348</v>
      </c>
      <c r="O27" s="11"/>
      <c r="P27" s="7">
        <v>71161.66</v>
      </c>
      <c r="Q27" s="2"/>
      <c r="R27" s="6">
        <f t="shared" si="16"/>
        <v>8.360254561698327E-2</v>
      </c>
      <c r="S27" s="2"/>
      <c r="T27" s="7">
        <v>96939.036930479997</v>
      </c>
      <c r="U27" s="2"/>
      <c r="V27" s="6">
        <f t="shared" si="17"/>
        <v>3.0808411641360337E-2</v>
      </c>
      <c r="W27" s="2"/>
      <c r="X27" s="7">
        <f t="shared" si="18"/>
        <v>-25777.376930479993</v>
      </c>
      <c r="Y27" s="2"/>
      <c r="Z27" s="6">
        <f t="shared" si="19"/>
        <v>-0.2659132764952708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4651.68</v>
      </c>
      <c r="E28" s="2"/>
      <c r="F28" s="6">
        <f t="shared" si="12"/>
        <v>5.0673694948208406E-2</v>
      </c>
      <c r="G28" s="2"/>
      <c r="H28" s="7">
        <v>7563.1238215499998</v>
      </c>
      <c r="I28" s="2"/>
      <c r="J28" s="6">
        <f t="shared" si="13"/>
        <v>1.5089459540739677E-2</v>
      </c>
      <c r="K28" s="2"/>
      <c r="L28" s="7">
        <f t="shared" si="14"/>
        <v>-2911.4438215499995</v>
      </c>
      <c r="M28" s="2"/>
      <c r="N28" s="6">
        <f t="shared" si="15"/>
        <v>-0.38495255270768836</v>
      </c>
      <c r="O28" s="11"/>
      <c r="P28" s="7">
        <v>44346.559999999998</v>
      </c>
      <c r="Q28" s="2"/>
      <c r="R28" s="6">
        <f t="shared" si="16"/>
        <v>5.2099477518600397E-2</v>
      </c>
      <c r="S28" s="2"/>
      <c r="T28" s="7">
        <v>67832.772536100005</v>
      </c>
      <c r="U28" s="2"/>
      <c r="V28" s="6">
        <f t="shared" si="17"/>
        <v>2.1558084805047624E-2</v>
      </c>
      <c r="W28" s="2"/>
      <c r="X28" s="7">
        <f t="shared" si="18"/>
        <v>-23486.212536100007</v>
      </c>
      <c r="Y28" s="2"/>
      <c r="Z28" s="6">
        <f t="shared" si="19"/>
        <v>-0.3462369538794961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45413.66</v>
      </c>
      <c r="E29" s="2"/>
      <c r="F29" s="6">
        <f t="shared" si="12"/>
        <v>0.49471974712827499</v>
      </c>
      <c r="G29" s="2"/>
      <c r="H29" s="7">
        <v>59594.230769230802</v>
      </c>
      <c r="I29" s="2"/>
      <c r="J29" s="6">
        <f t="shared" si="13"/>
        <v>0.1188985867838825</v>
      </c>
      <c r="K29" s="2"/>
      <c r="L29" s="7">
        <f t="shared" si="14"/>
        <v>-14180.570769230799</v>
      </c>
      <c r="M29" s="2"/>
      <c r="N29" s="6">
        <f t="shared" si="15"/>
        <v>-0.23795207331633841</v>
      </c>
      <c r="O29" s="11"/>
      <c r="P29" s="7">
        <v>403832.89</v>
      </c>
      <c r="Q29" s="2"/>
      <c r="R29" s="6">
        <f t="shared" si="16"/>
        <v>0.47443324970023443</v>
      </c>
      <c r="S29" s="2"/>
      <c r="T29" s="7">
        <v>566640</v>
      </c>
      <c r="U29" s="2"/>
      <c r="V29" s="6">
        <f t="shared" si="17"/>
        <v>0.18008512282807121</v>
      </c>
      <c r="W29" s="2"/>
      <c r="X29" s="7">
        <f t="shared" si="18"/>
        <v>-162807.10999999999</v>
      </c>
      <c r="Y29" s="2"/>
      <c r="Z29" s="6">
        <f t="shared" si="19"/>
        <v>-0.28732018565579553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285.97000000000003</v>
      </c>
      <c r="E30" s="2"/>
      <c r="F30" s="6">
        <f t="shared" si="12"/>
        <v>3.1152522409837219E-3</v>
      </c>
      <c r="G30" s="2"/>
      <c r="H30" s="7">
        <v>458.37114070000001</v>
      </c>
      <c r="I30" s="2"/>
      <c r="J30" s="6">
        <f t="shared" si="13"/>
        <v>9.1451269943876833E-4</v>
      </c>
      <c r="K30" s="2"/>
      <c r="L30" s="7">
        <f t="shared" si="14"/>
        <v>-172.40114069999998</v>
      </c>
      <c r="M30" s="2"/>
      <c r="N30" s="6">
        <f t="shared" si="15"/>
        <v>-0.37611691791223623</v>
      </c>
      <c r="O30" s="11"/>
      <c r="P30" s="7">
        <v>2775.57</v>
      </c>
      <c r="Q30" s="2"/>
      <c r="R30" s="6">
        <f t="shared" si="16"/>
        <v>3.2608109133222896E-3</v>
      </c>
      <c r="S30" s="2"/>
      <c r="T30" s="7">
        <v>4111.0771234000003</v>
      </c>
      <c r="U30" s="2"/>
      <c r="V30" s="6">
        <f t="shared" si="17"/>
        <v>1.3065505942453104E-3</v>
      </c>
      <c r="W30" s="2"/>
      <c r="X30" s="7">
        <f t="shared" si="18"/>
        <v>-1335.5071234000002</v>
      </c>
      <c r="Y30" s="2"/>
      <c r="Z30" s="6">
        <f t="shared" si="19"/>
        <v>-0.32485576974422958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3594.3</v>
      </c>
      <c r="E31" s="2"/>
      <c r="F31" s="6">
        <f t="shared" si="12"/>
        <v>3.9154985242395322E-2</v>
      </c>
      <c r="G31" s="2"/>
      <c r="H31" s="7">
        <v>4603.1433846153896</v>
      </c>
      <c r="I31" s="2"/>
      <c r="J31" s="6">
        <f t="shared" si="13"/>
        <v>9.1838964297350847E-3</v>
      </c>
      <c r="K31" s="2"/>
      <c r="L31" s="7">
        <f t="shared" si="14"/>
        <v>-1008.8433846153894</v>
      </c>
      <c r="M31" s="2"/>
      <c r="N31" s="6">
        <f t="shared" si="15"/>
        <v>-0.21916401474417294</v>
      </c>
      <c r="O31" s="11"/>
      <c r="P31" s="7">
        <v>36144.379999999997</v>
      </c>
      <c r="Q31" s="2"/>
      <c r="R31" s="6">
        <f t="shared" si="16"/>
        <v>4.2463345820594647E-2</v>
      </c>
      <c r="S31" s="2"/>
      <c r="T31" s="7">
        <v>44880.648000000103</v>
      </c>
      <c r="U31" s="2"/>
      <c r="V31" s="6">
        <f t="shared" si="17"/>
        <v>1.426361888974207E-2</v>
      </c>
      <c r="W31" s="2"/>
      <c r="X31" s="7">
        <f t="shared" si="18"/>
        <v>-8736.2680000001055</v>
      </c>
      <c r="Y31" s="2"/>
      <c r="Z31" s="6">
        <f t="shared" si="19"/>
        <v>-0.19465556736168527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2091.52</v>
      </c>
      <c r="E33" s="2"/>
      <c r="F33" s="6">
        <f t="shared" si="12"/>
        <v>2.2784251379733094E-2</v>
      </c>
      <c r="G33" s="2"/>
      <c r="H33" s="7"/>
      <c r="I33" s="2"/>
      <c r="J33" s="6">
        <f t="shared" si="13"/>
        <v>0</v>
      </c>
      <c r="K33" s="2"/>
      <c r="L33" s="7">
        <f t="shared" si="14"/>
        <v>2091.52</v>
      </c>
      <c r="M33" s="2"/>
      <c r="N33" s="6">
        <f t="shared" si="15"/>
        <v>0</v>
      </c>
      <c r="O33" s="11"/>
      <c r="P33" s="7">
        <v>13993.92</v>
      </c>
      <c r="Q33" s="2"/>
      <c r="R33" s="6">
        <f t="shared" si="16"/>
        <v>1.6440416583317682E-2</v>
      </c>
      <c r="S33" s="2"/>
      <c r="T33" s="7"/>
      <c r="U33" s="2"/>
      <c r="V33" s="6">
        <f t="shared" si="17"/>
        <v>0</v>
      </c>
      <c r="W33" s="2"/>
      <c r="X33" s="7">
        <f t="shared" si="18"/>
        <v>13993.92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5483.28</v>
      </c>
      <c r="E34" s="2"/>
      <c r="F34" s="6">
        <f t="shared" si="12"/>
        <v>5.9732840185827953E-2</v>
      </c>
      <c r="G34" s="2"/>
      <c r="H34" s="7">
        <v>6756.0878769230803</v>
      </c>
      <c r="I34" s="2"/>
      <c r="J34" s="6">
        <f t="shared" si="13"/>
        <v>1.3479313188293101E-2</v>
      </c>
      <c r="K34" s="2"/>
      <c r="L34" s="7">
        <f t="shared" si="14"/>
        <v>-1272.8078769230806</v>
      </c>
      <c r="M34" s="2"/>
      <c r="N34" s="6">
        <f t="shared" si="15"/>
        <v>-0.18839421572218426</v>
      </c>
      <c r="O34" s="11"/>
      <c r="P34" s="7">
        <v>57937.89</v>
      </c>
      <c r="Q34" s="2"/>
      <c r="R34" s="6">
        <f t="shared" si="16"/>
        <v>6.806692103130757E-2</v>
      </c>
      <c r="S34" s="2"/>
      <c r="T34" s="7">
        <v>65871.856799999994</v>
      </c>
      <c r="U34" s="2"/>
      <c r="V34" s="6">
        <f t="shared" si="17"/>
        <v>2.0934881799274878E-2</v>
      </c>
      <c r="W34" s="2"/>
      <c r="X34" s="7">
        <f t="shared" si="18"/>
        <v>-7933.9667999999947</v>
      </c>
      <c r="Y34" s="2"/>
      <c r="Z34" s="6">
        <f t="shared" si="19"/>
        <v>-0.1204454707279482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4211.6000000000004</v>
      </c>
      <c r="E35" s="2"/>
      <c r="F35" s="6">
        <f t="shared" si="12"/>
        <v>4.587962491914202E-2</v>
      </c>
      <c r="G35" s="2"/>
      <c r="H35" s="7">
        <v>5909.7645465384603</v>
      </c>
      <c r="I35" s="2"/>
      <c r="J35" s="6">
        <f t="shared" si="13"/>
        <v>1.1790783163723763E-2</v>
      </c>
      <c r="K35" s="2"/>
      <c r="L35" s="7">
        <f t="shared" si="14"/>
        <v>-1698.1645465384599</v>
      </c>
      <c r="M35" s="2"/>
      <c r="N35" s="6">
        <f t="shared" si="15"/>
        <v>-0.28734893465986383</v>
      </c>
      <c r="O35" s="11"/>
      <c r="P35" s="7">
        <v>39236.300000000003</v>
      </c>
      <c r="Q35" s="2"/>
      <c r="R35" s="6">
        <f t="shared" si="16"/>
        <v>4.609581283786298E-2</v>
      </c>
      <c r="S35" s="2"/>
      <c r="T35" s="7">
        <v>53488.956270000002</v>
      </c>
      <c r="U35" s="2"/>
      <c r="V35" s="6">
        <f t="shared" si="17"/>
        <v>1.699944455002873E-2</v>
      </c>
      <c r="W35" s="2"/>
      <c r="X35" s="7">
        <f t="shared" si="18"/>
        <v>-14252.656269999999</v>
      </c>
      <c r="Y35" s="2"/>
      <c r="Z35" s="6">
        <f t="shared" si="19"/>
        <v>-0.26645979401908415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1950.07</v>
      </c>
      <c r="E36" s="2"/>
      <c r="F36" s="6">
        <f t="shared" si="12"/>
        <v>2.1243346985960504E-2</v>
      </c>
      <c r="G36" s="2"/>
      <c r="H36" s="7">
        <v>3675</v>
      </c>
      <c r="I36" s="2"/>
      <c r="J36" s="6">
        <f t="shared" si="13"/>
        <v>7.3321242810029151E-3</v>
      </c>
      <c r="K36" s="2"/>
      <c r="L36" s="7">
        <f t="shared" si="14"/>
        <v>-1724.93</v>
      </c>
      <c r="M36" s="2"/>
      <c r="N36" s="6">
        <f t="shared" si="15"/>
        <v>-0.4693687074829932</v>
      </c>
      <c r="O36" s="11"/>
      <c r="P36" s="7">
        <v>20971.41</v>
      </c>
      <c r="Q36" s="2"/>
      <c r="R36" s="6">
        <f t="shared" si="16"/>
        <v>2.4637751018982117E-2</v>
      </c>
      <c r="S36" s="2"/>
      <c r="T36" s="7">
        <v>33075</v>
      </c>
      <c r="U36" s="2"/>
      <c r="V36" s="6">
        <f t="shared" si="17"/>
        <v>1.0511639555164575E-2</v>
      </c>
      <c r="W36" s="2"/>
      <c r="X36" s="7">
        <f t="shared" si="18"/>
        <v>-12103.59</v>
      </c>
      <c r="Y36" s="2"/>
      <c r="Z36" s="6">
        <f t="shared" si="19"/>
        <v>-0.36594376417233559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105984.6</v>
      </c>
      <c r="E37" s="1"/>
      <c r="F37" s="5">
        <f t="shared" ref="F37:F47" si="20">IF(D$12=0,0,D37/D$12)</f>
        <v>1.1545573404894336</v>
      </c>
      <c r="G37" s="1"/>
      <c r="H37" s="1">
        <f>SUM(OSRRefH22_1x_0)</f>
        <v>164346.8101534615</v>
      </c>
      <c r="I37" s="1"/>
      <c r="J37" s="5">
        <f t="shared" ref="J37:J47" si="21">IF(H$12=0,0,H37/H$12)</f>
        <v>0.32789421421267251</v>
      </c>
      <c r="K37" s="1"/>
      <c r="L37" s="1">
        <f t="shared" ref="L37:L47" si="22">+D37-H37</f>
        <v>-58362.210153461492</v>
      </c>
      <c r="M37" s="1"/>
      <c r="N37" s="5">
        <f t="shared" ref="N37:N47" si="23">IF(H37=0,0,L37/H37)</f>
        <v>-0.35511617231247039</v>
      </c>
      <c r="O37" s="13"/>
      <c r="P37" s="1">
        <f>SUM(OSRRefP22_1x_0)</f>
        <v>951301.84999999986</v>
      </c>
      <c r="Q37" s="1"/>
      <c r="R37" s="5">
        <f t="shared" ref="R37:R47" si="24">IF(P$12=0,0,P37/P$12)</f>
        <v>1.1176138430461791</v>
      </c>
      <c r="S37" s="1"/>
      <c r="T37" s="1">
        <f>SUM(OSRRefT22_1x_0)</f>
        <v>1466795.2919300001</v>
      </c>
      <c r="U37" s="1"/>
      <c r="V37" s="5">
        <f t="shared" ref="V37:V47" si="25">IF(T$12=0,0,T37/T$12)</f>
        <v>0.46616548480666847</v>
      </c>
      <c r="W37" s="1"/>
      <c r="X37" s="1">
        <f t="shared" ref="X37:X47" si="26">+P37-T37</f>
        <v>-515493.4419300002</v>
      </c>
      <c r="Y37" s="1"/>
      <c r="Z37" s="5">
        <f t="shared" ref="Z37:Z47" si="27">IF(T37=0,0,X37/T37)</f>
        <v>-0.35144198019051259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>
        <v>9034.5400000000009</v>
      </c>
      <c r="E38" s="2"/>
      <c r="F38" s="6">
        <f t="shared" si="20"/>
        <v>9.8418963462101175E-2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9034.5400000000009</v>
      </c>
      <c r="M38" s="2"/>
      <c r="N38" s="6">
        <f t="shared" si="23"/>
        <v>0</v>
      </c>
      <c r="O38" s="11"/>
      <c r="P38" s="7">
        <v>82204.899999999994</v>
      </c>
      <c r="Q38" s="2"/>
      <c r="R38" s="6">
        <f t="shared" si="24"/>
        <v>9.6576427562110656E-2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82204.899999999994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28252.19</v>
      </c>
      <c r="E39" s="2"/>
      <c r="F39" s="6">
        <f t="shared" si="20"/>
        <v>0.30776899048920475</v>
      </c>
      <c r="G39" s="2"/>
      <c r="H39" s="7">
        <v>48283.721538461497</v>
      </c>
      <c r="I39" s="2"/>
      <c r="J39" s="6">
        <f t="shared" si="21"/>
        <v>9.6332584236554275E-2</v>
      </c>
      <c r="K39" s="2"/>
      <c r="L39" s="7">
        <f t="shared" si="22"/>
        <v>-20031.531538461499</v>
      </c>
      <c r="M39" s="2"/>
      <c r="N39" s="6">
        <f t="shared" si="23"/>
        <v>-0.41487132516297293</v>
      </c>
      <c r="O39" s="11"/>
      <c r="P39" s="7">
        <v>259268.87</v>
      </c>
      <c r="Q39" s="2"/>
      <c r="R39" s="6">
        <f t="shared" si="24"/>
        <v>0.30459572656453915</v>
      </c>
      <c r="S39" s="2"/>
      <c r="T39" s="7">
        <v>470766.28499999997</v>
      </c>
      <c r="U39" s="2"/>
      <c r="V39" s="6">
        <f t="shared" si="25"/>
        <v>0.14961528352664791</v>
      </c>
      <c r="W39" s="2"/>
      <c r="X39" s="7">
        <f t="shared" si="26"/>
        <v>-211497.41499999998</v>
      </c>
      <c r="Y39" s="2"/>
      <c r="Z39" s="6">
        <f t="shared" si="27"/>
        <v>-0.44926202606034116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44312.87</v>
      </c>
      <c r="E41" s="2"/>
      <c r="F41" s="6">
        <f t="shared" si="20"/>
        <v>0.48272814481211435</v>
      </c>
      <c r="G41" s="2"/>
      <c r="H41" s="7">
        <v>71874.449919999999</v>
      </c>
      <c r="I41" s="2"/>
      <c r="J41" s="6">
        <f t="shared" si="21"/>
        <v>0.14339929236521362</v>
      </c>
      <c r="K41" s="2"/>
      <c r="L41" s="7">
        <f t="shared" si="22"/>
        <v>-27561.579919999996</v>
      </c>
      <c r="M41" s="2"/>
      <c r="N41" s="6">
        <f t="shared" si="23"/>
        <v>-0.38346839455018394</v>
      </c>
      <c r="O41" s="11"/>
      <c r="P41" s="7">
        <v>396371.96</v>
      </c>
      <c r="Q41" s="2"/>
      <c r="R41" s="6">
        <f t="shared" si="24"/>
        <v>0.46566795753771156</v>
      </c>
      <c r="S41" s="2"/>
      <c r="T41" s="7">
        <v>674599.88671999995</v>
      </c>
      <c r="U41" s="2"/>
      <c r="V41" s="6">
        <f t="shared" si="25"/>
        <v>0.21439609533349943</v>
      </c>
      <c r="W41" s="2"/>
      <c r="X41" s="7">
        <f t="shared" si="26"/>
        <v>-278227.92671999993</v>
      </c>
      <c r="Y41" s="2"/>
      <c r="Z41" s="6">
        <f t="shared" si="27"/>
        <v>-0.41243399561298988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>
        <v>8953.15</v>
      </c>
      <c r="E42" s="2"/>
      <c r="F42" s="6">
        <f t="shared" si="20"/>
        <v>9.7532330668823317E-2</v>
      </c>
      <c r="G42" s="2"/>
      <c r="H42" s="7">
        <v>9712.7006949999995</v>
      </c>
      <c r="I42" s="2"/>
      <c r="J42" s="6">
        <f t="shared" si="21"/>
        <v>1.9378157442156024E-2</v>
      </c>
      <c r="K42" s="2"/>
      <c r="L42" s="7">
        <f t="shared" si="22"/>
        <v>-759.55069499999991</v>
      </c>
      <c r="M42" s="2"/>
      <c r="N42" s="6">
        <f t="shared" si="23"/>
        <v>-7.8201801831596529E-2</v>
      </c>
      <c r="O42" s="11"/>
      <c r="P42" s="7">
        <v>89359.19</v>
      </c>
      <c r="Q42" s="2"/>
      <c r="R42" s="6">
        <f t="shared" si="24"/>
        <v>0.10498147117804271</v>
      </c>
      <c r="S42" s="2"/>
      <c r="T42" s="7">
        <v>72097.522710000005</v>
      </c>
      <c r="U42" s="2"/>
      <c r="V42" s="6">
        <f t="shared" si="25"/>
        <v>2.2913474574385861E-2</v>
      </c>
      <c r="W42" s="2"/>
      <c r="X42" s="7">
        <f t="shared" si="26"/>
        <v>17261.667289999998</v>
      </c>
      <c r="Y42" s="2"/>
      <c r="Z42" s="6">
        <f t="shared" si="27"/>
        <v>0.23942108745444848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>
        <v>717.96</v>
      </c>
      <c r="E43" s="2"/>
      <c r="F43" s="6">
        <f t="shared" si="20"/>
        <v>7.8211927787413815E-3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717.96</v>
      </c>
      <c r="M43" s="2"/>
      <c r="N43" s="6">
        <f t="shared" si="23"/>
        <v>0</v>
      </c>
      <c r="O43" s="11"/>
      <c r="P43" s="7">
        <v>1326.96</v>
      </c>
      <c r="Q43" s="2"/>
      <c r="R43" s="6">
        <f t="shared" si="24"/>
        <v>1.5589466846601403E-3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1326.96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14713.89</v>
      </c>
      <c r="E44" s="2"/>
      <c r="F44" s="6">
        <f t="shared" si="20"/>
        <v>0.16028771827844868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14713.89</v>
      </c>
      <c r="M44" s="2"/>
      <c r="N44" s="6">
        <f t="shared" si="23"/>
        <v>0</v>
      </c>
      <c r="O44" s="11"/>
      <c r="P44" s="7">
        <v>112139.09</v>
      </c>
      <c r="Q44" s="2"/>
      <c r="R44" s="6">
        <f t="shared" si="24"/>
        <v>0.13174388269149415</v>
      </c>
      <c r="S44" s="2"/>
      <c r="T44" s="7">
        <v>13860.33</v>
      </c>
      <c r="U44" s="2"/>
      <c r="V44" s="6">
        <f t="shared" si="25"/>
        <v>4.4049824059148668E-3</v>
      </c>
      <c r="W44" s="2"/>
      <c r="X44" s="7">
        <f t="shared" si="26"/>
        <v>98278.76</v>
      </c>
      <c r="Y44" s="2"/>
      <c r="Z44" s="6">
        <f t="shared" si="27"/>
        <v>7.0906507998005814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34475.938000000002</v>
      </c>
      <c r="I45" s="2"/>
      <c r="J45" s="6">
        <f t="shared" si="21"/>
        <v>6.8784180168748599E-2</v>
      </c>
      <c r="K45" s="2"/>
      <c r="L45" s="7">
        <f t="shared" si="22"/>
        <v>-34475.938000000002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1.248943082762087E-2</v>
      </c>
      <c r="S45" s="2"/>
      <c r="T45" s="7">
        <v>235471.26749999999</v>
      </c>
      <c r="U45" s="2"/>
      <c r="V45" s="6">
        <f t="shared" si="25"/>
        <v>7.4835648966220372E-2</v>
      </c>
      <c r="W45" s="2"/>
      <c r="X45" s="7">
        <f t="shared" si="26"/>
        <v>-224840.38749999998</v>
      </c>
      <c r="Y45" s="2"/>
      <c r="Z45" s="6">
        <f t="shared" si="27"/>
        <v>-0.95485275077138654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72" si="28">IF(D$12=0,0,D48/D$12)</f>
        <v>0</v>
      </c>
      <c r="G48" s="1"/>
      <c r="H48" s="1">
        <f>SUM(OSRRefH22_2x_0)</f>
        <v>1169</v>
      </c>
      <c r="I48" s="1"/>
      <c r="J48" s="5">
        <f t="shared" ref="J48:J72" si="29">IF(H$12=0,0,H48/H$12)</f>
        <v>2.3323138189094987E-3</v>
      </c>
      <c r="K48" s="1"/>
      <c r="L48" s="1">
        <f t="shared" ref="L48:L72" si="30">+D48-H48</f>
        <v>-1169</v>
      </c>
      <c r="M48" s="1"/>
      <c r="N48" s="5">
        <f t="shared" ref="N48:N72" si="31">IF(H48=0,0,L48/H48)</f>
        <v>-1</v>
      </c>
      <c r="O48" s="13"/>
      <c r="P48" s="1">
        <f>SUM(OSRRefP22_2x_0)</f>
        <v>1445.17</v>
      </c>
      <c r="Q48" s="1"/>
      <c r="R48" s="5">
        <f t="shared" ref="R48:R72" si="32">IF(P$12=0,0,P48/P$12)</f>
        <v>1.6978228283221009E-3</v>
      </c>
      <c r="S48" s="1"/>
      <c r="T48" s="1">
        <f>SUM(OSRRefT22_2x_0)</f>
        <v>10621</v>
      </c>
      <c r="U48" s="1"/>
      <c r="V48" s="5">
        <f t="shared" ref="V48:V72" si="33">IF(T$12=0,0,T48/T$12)</f>
        <v>3.375483710216265E-3</v>
      </c>
      <c r="W48" s="1"/>
      <c r="X48" s="1">
        <f t="shared" ref="X48:X72" si="34">+P48-T48</f>
        <v>-9175.83</v>
      </c>
      <c r="Y48" s="1"/>
      <c r="Z48" s="5">
        <f t="shared" ref="Z48:Z72" si="35">IF(T48=0,0,X48/T48)</f>
        <v>-0.86393277469164864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1169</v>
      </c>
      <c r="I49" s="2"/>
      <c r="J49" s="6">
        <f t="shared" si="29"/>
        <v>2.3323138189094987E-3</v>
      </c>
      <c r="K49" s="2"/>
      <c r="L49" s="7">
        <f t="shared" si="30"/>
        <v>-1169</v>
      </c>
      <c r="M49" s="2"/>
      <c r="N49" s="6">
        <f t="shared" si="31"/>
        <v>-1</v>
      </c>
      <c r="O49" s="11"/>
      <c r="P49" s="7">
        <v>1445.17</v>
      </c>
      <c r="Q49" s="2"/>
      <c r="R49" s="6">
        <f t="shared" si="32"/>
        <v>1.6978228283221009E-3</v>
      </c>
      <c r="S49" s="2"/>
      <c r="T49" s="7">
        <v>10621</v>
      </c>
      <c r="U49" s="2"/>
      <c r="V49" s="6">
        <f t="shared" si="33"/>
        <v>3.375483710216265E-3</v>
      </c>
      <c r="W49" s="2"/>
      <c r="X49" s="7">
        <f t="shared" si="34"/>
        <v>-9175.83</v>
      </c>
      <c r="Y49" s="2"/>
      <c r="Z49" s="6">
        <f t="shared" si="35"/>
        <v>-0.86393277469164864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6.1849211622065409E-5</v>
      </c>
      <c r="K50" s="1"/>
      <c r="L50" s="1">
        <f t="shared" si="30"/>
        <v>-31</v>
      </c>
      <c r="M50" s="1"/>
      <c r="N50" s="5">
        <f t="shared" si="31"/>
        <v>-1</v>
      </c>
      <c r="O50" s="13"/>
      <c r="P50" s="1">
        <f>SUM(OSRRefP22_3x_0)</f>
        <v>53.54</v>
      </c>
      <c r="Q50" s="1"/>
      <c r="R50" s="5">
        <f t="shared" si="32"/>
        <v>6.2900166920407479E-5</v>
      </c>
      <c r="S50" s="1"/>
      <c r="T50" s="1">
        <f>SUM(OSRRefT22_3x_0)</f>
        <v>263</v>
      </c>
      <c r="U50" s="1"/>
      <c r="V50" s="5">
        <f t="shared" si="33"/>
        <v>8.3584616870998745E-5</v>
      </c>
      <c r="W50" s="1"/>
      <c r="X50" s="1">
        <f t="shared" si="34"/>
        <v>-209.46</v>
      </c>
      <c r="Y50" s="1"/>
      <c r="Z50" s="5">
        <f t="shared" si="35"/>
        <v>-0.79642585551330802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31</v>
      </c>
      <c r="I51" s="2"/>
      <c r="J51" s="6">
        <f t="shared" si="29"/>
        <v>6.1849211622065409E-5</v>
      </c>
      <c r="K51" s="2"/>
      <c r="L51" s="7">
        <f t="shared" si="30"/>
        <v>-31</v>
      </c>
      <c r="M51" s="2"/>
      <c r="N51" s="6">
        <f t="shared" si="31"/>
        <v>-1</v>
      </c>
      <c r="O51" s="11"/>
      <c r="P51" s="7">
        <v>53.54</v>
      </c>
      <c r="Q51" s="2"/>
      <c r="R51" s="6">
        <f t="shared" si="32"/>
        <v>6.2900166920407479E-5</v>
      </c>
      <c r="S51" s="2"/>
      <c r="T51" s="7">
        <v>263</v>
      </c>
      <c r="U51" s="2"/>
      <c r="V51" s="6">
        <f t="shared" si="33"/>
        <v>8.3584616870998745E-5</v>
      </c>
      <c r="W51" s="2"/>
      <c r="X51" s="7">
        <f t="shared" si="34"/>
        <v>-209.46</v>
      </c>
      <c r="Y51" s="2"/>
      <c r="Z51" s="6">
        <f t="shared" si="35"/>
        <v>-0.79642585551330802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78.08</v>
      </c>
      <c r="E52" s="1"/>
      <c r="F52" s="5">
        <f t="shared" si="28"/>
        <v>8.505748679092526E-4</v>
      </c>
      <c r="G52" s="1"/>
      <c r="H52" s="1">
        <f>SUM(OSRRefH22_4x_0)</f>
        <v>395</v>
      </c>
      <c r="I52" s="1"/>
      <c r="J52" s="5">
        <f t="shared" si="29"/>
        <v>7.880786642166398E-4</v>
      </c>
      <c r="K52" s="1"/>
      <c r="L52" s="1">
        <f t="shared" si="30"/>
        <v>-316.92</v>
      </c>
      <c r="M52" s="1"/>
      <c r="N52" s="5">
        <f t="shared" si="31"/>
        <v>-0.80232911392405071</v>
      </c>
      <c r="O52" s="13"/>
      <c r="P52" s="1">
        <f>SUM(OSRRefP22_4x_0)</f>
        <v>267</v>
      </c>
      <c r="Q52" s="1"/>
      <c r="R52" s="5">
        <f t="shared" si="32"/>
        <v>3.1367845662586468E-4</v>
      </c>
      <c r="S52" s="1"/>
      <c r="T52" s="1">
        <f>SUM(OSRRefT22_4x_0)</f>
        <v>3545</v>
      </c>
      <c r="U52" s="1"/>
      <c r="V52" s="5">
        <f t="shared" si="33"/>
        <v>1.1266443604855153E-3</v>
      </c>
      <c r="W52" s="1"/>
      <c r="X52" s="1">
        <f t="shared" si="34"/>
        <v>-3278</v>
      </c>
      <c r="Y52" s="1"/>
      <c r="Z52" s="5">
        <f t="shared" si="35"/>
        <v>-0.9246826516220028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78.08</v>
      </c>
      <c r="E53" s="2"/>
      <c r="F53" s="6">
        <f t="shared" si="28"/>
        <v>8.505748679092526E-4</v>
      </c>
      <c r="G53" s="2"/>
      <c r="H53" s="7">
        <v>395</v>
      </c>
      <c r="I53" s="2"/>
      <c r="J53" s="6">
        <f t="shared" si="29"/>
        <v>7.880786642166398E-4</v>
      </c>
      <c r="K53" s="2"/>
      <c r="L53" s="7">
        <f t="shared" si="30"/>
        <v>-316.92</v>
      </c>
      <c r="M53" s="2"/>
      <c r="N53" s="6">
        <f t="shared" si="31"/>
        <v>-0.80232911392405071</v>
      </c>
      <c r="O53" s="11"/>
      <c r="P53" s="7">
        <v>267</v>
      </c>
      <c r="Q53" s="2"/>
      <c r="R53" s="6">
        <f t="shared" si="32"/>
        <v>3.1367845662586468E-4</v>
      </c>
      <c r="S53" s="2"/>
      <c r="T53" s="7">
        <v>3545</v>
      </c>
      <c r="U53" s="2"/>
      <c r="V53" s="6">
        <f t="shared" si="33"/>
        <v>1.1266443604855153E-3</v>
      </c>
      <c r="W53" s="2"/>
      <c r="X53" s="7">
        <f t="shared" si="34"/>
        <v>-3278</v>
      </c>
      <c r="Y53" s="2"/>
      <c r="Z53" s="6">
        <f t="shared" si="35"/>
        <v>-0.9246826516220028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758.5</v>
      </c>
      <c r="E54" s="1"/>
      <c r="F54" s="5">
        <f t="shared" si="28"/>
        <v>8.2628206622588126E-3</v>
      </c>
      <c r="G54" s="1"/>
      <c r="H54" s="1">
        <f>SUM(OSRRefH22_5x_0)</f>
        <v>213</v>
      </c>
      <c r="I54" s="1"/>
      <c r="J54" s="5">
        <f t="shared" si="29"/>
        <v>4.2496393791935263E-4</v>
      </c>
      <c r="K54" s="1"/>
      <c r="L54" s="1">
        <f t="shared" si="30"/>
        <v>545.5</v>
      </c>
      <c r="M54" s="1"/>
      <c r="N54" s="5">
        <f t="shared" si="31"/>
        <v>2.5610328638497655</v>
      </c>
      <c r="O54" s="13"/>
      <c r="P54" s="1">
        <f>SUM(OSRRefP22_5x_0)</f>
        <v>6298.06</v>
      </c>
      <c r="Q54" s="1"/>
      <c r="R54" s="5">
        <f t="shared" si="32"/>
        <v>7.3991226237344332E-3</v>
      </c>
      <c r="S54" s="1"/>
      <c r="T54" s="1">
        <f>SUM(OSRRefT22_5x_0)</f>
        <v>1917</v>
      </c>
      <c r="U54" s="1"/>
      <c r="V54" s="5">
        <f t="shared" si="33"/>
        <v>6.0924604768708966E-4</v>
      </c>
      <c r="W54" s="1"/>
      <c r="X54" s="1">
        <f t="shared" si="34"/>
        <v>4381.0600000000004</v>
      </c>
      <c r="Y54" s="1"/>
      <c r="Z54" s="5">
        <f t="shared" si="35"/>
        <v>2.2853729786124153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8.2628206622588126E-3</v>
      </c>
      <c r="G55" s="2"/>
      <c r="H55" s="7">
        <v>213</v>
      </c>
      <c r="I55" s="2"/>
      <c r="J55" s="6">
        <f t="shared" si="29"/>
        <v>4.2496393791935263E-4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6298.06</v>
      </c>
      <c r="Q55" s="2"/>
      <c r="R55" s="6">
        <f t="shared" si="32"/>
        <v>7.3991226237344332E-3</v>
      </c>
      <c r="S55" s="2"/>
      <c r="T55" s="7">
        <v>1917</v>
      </c>
      <c r="U55" s="2"/>
      <c r="V55" s="6">
        <f t="shared" si="33"/>
        <v>6.0924604768708966E-4</v>
      </c>
      <c r="W55" s="2"/>
      <c r="X55" s="7">
        <f t="shared" si="34"/>
        <v>4381.0600000000004</v>
      </c>
      <c r="Y55" s="2"/>
      <c r="Z55" s="6">
        <f t="shared" si="35"/>
        <v>2.2853729786124153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7337.33</v>
      </c>
      <c r="E56" s="1"/>
      <c r="F56" s="5">
        <f t="shared" si="28"/>
        <v>7.9930180527108055E-2</v>
      </c>
      <c r="G56" s="1"/>
      <c r="H56" s="1">
        <f>SUM(OSRRefH22_6x_0)</f>
        <v>13773</v>
      </c>
      <c r="I56" s="1"/>
      <c r="J56" s="5">
        <f t="shared" si="29"/>
        <v>2.7479006182926025E-2</v>
      </c>
      <c r="K56" s="1"/>
      <c r="L56" s="1">
        <f t="shared" si="30"/>
        <v>-6435.67</v>
      </c>
      <c r="M56" s="1"/>
      <c r="N56" s="5">
        <f t="shared" si="31"/>
        <v>-0.46726711682276917</v>
      </c>
      <c r="O56" s="13"/>
      <c r="P56" s="1">
        <f>SUM(OSRRefP22_6x_0)</f>
        <v>50979.76</v>
      </c>
      <c r="Q56" s="1"/>
      <c r="R56" s="5">
        <f t="shared" si="32"/>
        <v>5.9892331220812708E-2</v>
      </c>
      <c r="S56" s="1"/>
      <c r="T56" s="1">
        <f>SUM(OSRRefT22_6x_0)</f>
        <v>106184</v>
      </c>
      <c r="U56" s="1"/>
      <c r="V56" s="5">
        <f t="shared" si="33"/>
        <v>3.3746573984144983E-2</v>
      </c>
      <c r="W56" s="1"/>
      <c r="X56" s="1">
        <f t="shared" si="34"/>
        <v>-55204.24</v>
      </c>
      <c r="Y56" s="1"/>
      <c r="Z56" s="5">
        <f t="shared" si="35"/>
        <v>-0.51989226248775711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>
        <v>7337.33</v>
      </c>
      <c r="E57" s="2"/>
      <c r="F57" s="6">
        <f t="shared" si="28"/>
        <v>7.9930180527108055E-2</v>
      </c>
      <c r="G57" s="2"/>
      <c r="H57" s="7">
        <v>13773</v>
      </c>
      <c r="I57" s="2"/>
      <c r="J57" s="6">
        <f t="shared" si="29"/>
        <v>2.7479006182926025E-2</v>
      </c>
      <c r="K57" s="2"/>
      <c r="L57" s="7">
        <f t="shared" si="30"/>
        <v>-6435.67</v>
      </c>
      <c r="M57" s="2"/>
      <c r="N57" s="6">
        <f t="shared" si="31"/>
        <v>-0.46726711682276917</v>
      </c>
      <c r="O57" s="11"/>
      <c r="P57" s="7">
        <v>50979.76</v>
      </c>
      <c r="Q57" s="2"/>
      <c r="R57" s="6">
        <f t="shared" si="32"/>
        <v>5.9892331220812708E-2</v>
      </c>
      <c r="S57" s="2"/>
      <c r="T57" s="7">
        <v>106184</v>
      </c>
      <c r="U57" s="2"/>
      <c r="V57" s="6">
        <f t="shared" si="33"/>
        <v>3.3746573984144983E-2</v>
      </c>
      <c r="W57" s="2"/>
      <c r="X57" s="7">
        <f t="shared" si="34"/>
        <v>-55204.24</v>
      </c>
      <c r="Y57" s="2"/>
      <c r="Z57" s="6">
        <f t="shared" si="35"/>
        <v>-0.51989226248775711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5.9854075763289105E-4</v>
      </c>
      <c r="K58" s="1"/>
      <c r="L58" s="1">
        <f t="shared" si="30"/>
        <v>-300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2500</v>
      </c>
      <c r="U58" s="1"/>
      <c r="V58" s="5">
        <f t="shared" si="33"/>
        <v>7.9453057862166111E-4</v>
      </c>
      <c r="W58" s="1"/>
      <c r="X58" s="1">
        <f t="shared" si="34"/>
        <v>-2500</v>
      </c>
      <c r="Y58" s="1"/>
      <c r="Z58" s="5">
        <f t="shared" si="35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5.9854075763289105E-4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2500</v>
      </c>
      <c r="U59" s="2"/>
      <c r="V59" s="6">
        <f t="shared" si="33"/>
        <v>7.9453057862166111E-4</v>
      </c>
      <c r="W59" s="2"/>
      <c r="X59" s="7">
        <f t="shared" si="34"/>
        <v>-2500</v>
      </c>
      <c r="Y59" s="2"/>
      <c r="Z59" s="6">
        <f t="shared" si="35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716.36</v>
      </c>
      <c r="E60" s="1"/>
      <c r="F60" s="5">
        <f t="shared" si="28"/>
        <v>7.803762965874388E-3</v>
      </c>
      <c r="G60" s="1"/>
      <c r="H60" s="1">
        <f>SUM(OSRRefH22_8x_0)</f>
        <v>690</v>
      </c>
      <c r="I60" s="1"/>
      <c r="J60" s="5">
        <f t="shared" si="29"/>
        <v>1.3766437425556492E-3</v>
      </c>
      <c r="K60" s="1"/>
      <c r="L60" s="1">
        <f t="shared" si="30"/>
        <v>26.360000000000014</v>
      </c>
      <c r="M60" s="1"/>
      <c r="N60" s="5">
        <f t="shared" si="31"/>
        <v>3.8202898550724659E-2</v>
      </c>
      <c r="O60" s="13"/>
      <c r="P60" s="1">
        <f>SUM(OSRRefP22_8x_0)</f>
        <v>4553.92</v>
      </c>
      <c r="Q60" s="1"/>
      <c r="R60" s="5">
        <f t="shared" si="32"/>
        <v>5.3500621617889807E-3</v>
      </c>
      <c r="S60" s="1"/>
      <c r="T60" s="1">
        <f>SUM(OSRRefT22_8x_0)</f>
        <v>6210</v>
      </c>
      <c r="U60" s="1"/>
      <c r="V60" s="5">
        <f t="shared" si="33"/>
        <v>1.9736139572962062E-3</v>
      </c>
      <c r="W60" s="1"/>
      <c r="X60" s="1">
        <f t="shared" si="34"/>
        <v>-1656.08</v>
      </c>
      <c r="Y60" s="1"/>
      <c r="Z60" s="5">
        <f t="shared" si="35"/>
        <v>-0.26667954911433173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716.36</v>
      </c>
      <c r="E61" s="2"/>
      <c r="F61" s="6">
        <f t="shared" si="28"/>
        <v>7.803762965874388E-3</v>
      </c>
      <c r="G61" s="2"/>
      <c r="H61" s="7">
        <v>690</v>
      </c>
      <c r="I61" s="2"/>
      <c r="J61" s="6">
        <f t="shared" si="29"/>
        <v>1.3766437425556492E-3</v>
      </c>
      <c r="K61" s="2"/>
      <c r="L61" s="7">
        <f t="shared" si="30"/>
        <v>26.360000000000014</v>
      </c>
      <c r="M61" s="2"/>
      <c r="N61" s="6">
        <f t="shared" si="31"/>
        <v>3.8202898550724659E-2</v>
      </c>
      <c r="O61" s="11"/>
      <c r="P61" s="7">
        <v>4553.92</v>
      </c>
      <c r="Q61" s="2"/>
      <c r="R61" s="6">
        <f t="shared" si="32"/>
        <v>5.3500621617889807E-3</v>
      </c>
      <c r="S61" s="2"/>
      <c r="T61" s="7">
        <v>6210</v>
      </c>
      <c r="U61" s="2"/>
      <c r="V61" s="6">
        <f t="shared" si="33"/>
        <v>1.9736139572962062E-3</v>
      </c>
      <c r="W61" s="2"/>
      <c r="X61" s="7">
        <f t="shared" si="34"/>
        <v>-1656.08</v>
      </c>
      <c r="Y61" s="2"/>
      <c r="Z61" s="6">
        <f t="shared" si="35"/>
        <v>-0.26667954911433173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436.32</v>
      </c>
      <c r="E62" s="1"/>
      <c r="F62" s="5">
        <f t="shared" si="28"/>
        <v>4.7531099688289591E-3</v>
      </c>
      <c r="G62" s="1"/>
      <c r="H62" s="1">
        <f>SUM(OSRRefH22_9x_0)</f>
        <v>430</v>
      </c>
      <c r="I62" s="1"/>
      <c r="J62" s="5">
        <f t="shared" si="29"/>
        <v>8.5790841927381044E-4</v>
      </c>
      <c r="K62" s="1"/>
      <c r="L62" s="1">
        <f t="shared" si="30"/>
        <v>6.3199999999999932</v>
      </c>
      <c r="M62" s="1"/>
      <c r="N62" s="5">
        <f t="shared" si="31"/>
        <v>1.4697674418604634E-2</v>
      </c>
      <c r="O62" s="13"/>
      <c r="P62" s="1">
        <f>SUM(OSRRefP22_9x_0)</f>
        <v>7594.75</v>
      </c>
      <c r="Q62" s="1"/>
      <c r="R62" s="5">
        <f t="shared" si="32"/>
        <v>8.9225073350535054E-3</v>
      </c>
      <c r="S62" s="1"/>
      <c r="T62" s="1">
        <f>SUM(OSRRefT22_9x_0)</f>
        <v>8290</v>
      </c>
      <c r="U62" s="1"/>
      <c r="V62" s="5">
        <f t="shared" si="33"/>
        <v>2.6346633987094281E-3</v>
      </c>
      <c r="W62" s="1"/>
      <c r="X62" s="1">
        <f t="shared" si="34"/>
        <v>-695.25</v>
      </c>
      <c r="Y62" s="1"/>
      <c r="Z62" s="5">
        <f t="shared" si="35"/>
        <v>-8.3866103739445114E-2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>
        <v>436.32</v>
      </c>
      <c r="E63" s="2"/>
      <c r="F63" s="6">
        <f t="shared" si="28"/>
        <v>4.7531099688289591E-3</v>
      </c>
      <c r="G63" s="2"/>
      <c r="H63" s="7">
        <v>430</v>
      </c>
      <c r="I63" s="2"/>
      <c r="J63" s="6">
        <f t="shared" si="29"/>
        <v>8.5790841927381044E-4</v>
      </c>
      <c r="K63" s="2"/>
      <c r="L63" s="7">
        <f t="shared" si="30"/>
        <v>6.3199999999999932</v>
      </c>
      <c r="M63" s="2"/>
      <c r="N63" s="6">
        <f t="shared" si="31"/>
        <v>1.4697674418604634E-2</v>
      </c>
      <c r="O63" s="11"/>
      <c r="P63" s="7">
        <v>7594.75</v>
      </c>
      <c r="Q63" s="2"/>
      <c r="R63" s="6">
        <f t="shared" si="32"/>
        <v>8.9225073350535054E-3</v>
      </c>
      <c r="S63" s="2"/>
      <c r="T63" s="7">
        <v>8290</v>
      </c>
      <c r="U63" s="2"/>
      <c r="V63" s="6">
        <f t="shared" si="33"/>
        <v>2.6346633987094281E-3</v>
      </c>
      <c r="W63" s="2"/>
      <c r="X63" s="7">
        <f t="shared" si="34"/>
        <v>-695.25</v>
      </c>
      <c r="Y63" s="2"/>
      <c r="Z63" s="6">
        <f t="shared" si="35"/>
        <v>-8.3866103739445114E-2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SUM(OSRRefD22_10x_0)</f>
        <v>5.9</v>
      </c>
      <c r="E64" s="1"/>
      <c r="F64" s="5">
        <f t="shared" si="28"/>
        <v>6.4272434947036257E-5</v>
      </c>
      <c r="G64" s="1"/>
      <c r="H64" s="1">
        <f>SUM(OSRRefH22_10x_0)</f>
        <v>7</v>
      </c>
      <c r="I64" s="1"/>
      <c r="J64" s="5">
        <f t="shared" si="29"/>
        <v>1.3965951011434124E-5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3"/>
      <c r="P64" s="1">
        <f>SUM(OSRRefP22_10x_0)</f>
        <v>53.1</v>
      </c>
      <c r="Q64" s="1"/>
      <c r="R64" s="5">
        <f t="shared" si="32"/>
        <v>6.2383243621098937E-5</v>
      </c>
      <c r="S64" s="1"/>
      <c r="T64" s="1">
        <f>SUM(OSRRefT22_10x_0)</f>
        <v>63</v>
      </c>
      <c r="U64" s="1"/>
      <c r="V64" s="5">
        <f t="shared" si="33"/>
        <v>2.0022170581265858E-5</v>
      </c>
      <c r="W64" s="1"/>
      <c r="X64" s="1">
        <f t="shared" si="34"/>
        <v>-9.8999999999999986</v>
      </c>
      <c r="Y64" s="1"/>
      <c r="Z64" s="5">
        <f t="shared" si="35"/>
        <v>-0.15714285714285711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6.4272434947036257E-5</v>
      </c>
      <c r="G65" s="2"/>
      <c r="H65" s="7">
        <v>7</v>
      </c>
      <c r="I65" s="2"/>
      <c r="J65" s="6">
        <f t="shared" si="29"/>
        <v>1.3965951011434124E-5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53.1</v>
      </c>
      <c r="Q65" s="2"/>
      <c r="R65" s="6">
        <f t="shared" si="32"/>
        <v>6.2383243621098937E-5</v>
      </c>
      <c r="S65" s="2"/>
      <c r="T65" s="7">
        <v>63</v>
      </c>
      <c r="U65" s="2"/>
      <c r="V65" s="6">
        <f t="shared" si="33"/>
        <v>2.0022170581265858E-5</v>
      </c>
      <c r="W65" s="2"/>
      <c r="X65" s="7">
        <f t="shared" si="34"/>
        <v>-9.8999999999999986</v>
      </c>
      <c r="Y65" s="2"/>
      <c r="Z65" s="6">
        <f t="shared" si="35"/>
        <v>-0.15714285714285711</v>
      </c>
    </row>
    <row r="66" spans="1:26" s="25" customFormat="1" outlineLevel="1" collapsed="1" x14ac:dyDescent="0.25">
      <c r="A66" s="27"/>
      <c r="B66" s="13" t="str">
        <f>CONCATENATE("     ","R/H Commissions                                   ")</f>
        <v xml:space="preserve">     R/H Commissions                                   </v>
      </c>
      <c r="C66" s="13"/>
      <c r="D66" s="1">
        <f>SUM(OSRRefD22_11x_0)</f>
        <v>6756.75</v>
      </c>
      <c r="E66" s="1"/>
      <c r="F66" s="5">
        <f t="shared" si="28"/>
        <v>7.3605555055658842E-2</v>
      </c>
      <c r="G66" s="1"/>
      <c r="H66" s="1">
        <f>SUM(OSRRefH22_11x_0)</f>
        <v>40097</v>
      </c>
      <c r="I66" s="1"/>
      <c r="J66" s="5">
        <f t="shared" si="29"/>
        <v>7.9998962529353443E-2</v>
      </c>
      <c r="K66" s="1"/>
      <c r="L66" s="1">
        <f t="shared" si="30"/>
        <v>-33340.25</v>
      </c>
      <c r="M66" s="1"/>
      <c r="N66" s="5">
        <f t="shared" si="31"/>
        <v>-0.83148988702396687</v>
      </c>
      <c r="O66" s="13"/>
      <c r="P66" s="1">
        <f>SUM(OSRRefP22_11x_0)</f>
        <v>59012.6</v>
      </c>
      <c r="Q66" s="1"/>
      <c r="R66" s="5">
        <f t="shared" si="32"/>
        <v>6.9329517938125473E-2</v>
      </c>
      <c r="S66" s="1"/>
      <c r="T66" s="1">
        <f>SUM(OSRRefT22_11x_0)</f>
        <v>253999</v>
      </c>
      <c r="U66" s="1"/>
      <c r="V66" s="5">
        <f t="shared" si="33"/>
        <v>8.0723988975729313E-2</v>
      </c>
      <c r="W66" s="1"/>
      <c r="X66" s="1">
        <f t="shared" si="34"/>
        <v>-194986.4</v>
      </c>
      <c r="Y66" s="1"/>
      <c r="Z66" s="5">
        <f t="shared" si="35"/>
        <v>-0.76766601443312765</v>
      </c>
    </row>
    <row r="67" spans="1:26" s="24" customFormat="1" hidden="1" outlineLevel="2" x14ac:dyDescent="0.25">
      <c r="A67" s="26"/>
      <c r="B67" s="11" t="str">
        <f>CONCATENATE("          ", "6387", " - ", "COMMISSION DUE HOUSING")</f>
        <v xml:space="preserve">          6387 - COMMISSION DUE HOUSING</v>
      </c>
      <c r="C67" s="11"/>
      <c r="D67" s="7">
        <v>6756.75</v>
      </c>
      <c r="E67" s="2"/>
      <c r="F67" s="6">
        <f t="shared" si="28"/>
        <v>7.3605555055658842E-2</v>
      </c>
      <c r="G67" s="2"/>
      <c r="H67" s="7">
        <v>40097</v>
      </c>
      <c r="I67" s="2"/>
      <c r="J67" s="6">
        <f t="shared" si="29"/>
        <v>7.9998962529353443E-2</v>
      </c>
      <c r="K67" s="2"/>
      <c r="L67" s="7">
        <f t="shared" si="30"/>
        <v>-33340.25</v>
      </c>
      <c r="M67" s="2"/>
      <c r="N67" s="6">
        <f t="shared" si="31"/>
        <v>-0.83148988702396687</v>
      </c>
      <c r="O67" s="11"/>
      <c r="P67" s="7">
        <v>59012.6</v>
      </c>
      <c r="Q67" s="2"/>
      <c r="R67" s="6">
        <f t="shared" si="32"/>
        <v>6.9329517938125473E-2</v>
      </c>
      <c r="S67" s="2"/>
      <c r="T67" s="7">
        <v>253999</v>
      </c>
      <c r="U67" s="2"/>
      <c r="V67" s="6">
        <f t="shared" si="33"/>
        <v>8.0723988975729313E-2</v>
      </c>
      <c r="W67" s="2"/>
      <c r="X67" s="7">
        <f t="shared" si="34"/>
        <v>-194986.4</v>
      </c>
      <c r="Y67" s="2"/>
      <c r="Z67" s="6">
        <f t="shared" si="35"/>
        <v>-0.76766601443312765</v>
      </c>
    </row>
    <row r="68" spans="1:26" s="25" customFormat="1" outlineLevel="1" collapsed="1" x14ac:dyDescent="0.25">
      <c r="A68" s="27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SUM(OSRRefD22_12x_0)</f>
        <v>3741.62</v>
      </c>
      <c r="E68" s="1"/>
      <c r="F68" s="5">
        <f t="shared" si="28"/>
        <v>4.0759835262123692E-2</v>
      </c>
      <c r="G68" s="1"/>
      <c r="H68" s="1">
        <f>SUM(OSRRefH22_12x_0)</f>
        <v>508</v>
      </c>
      <c r="I68" s="1"/>
      <c r="J68" s="5">
        <f t="shared" si="29"/>
        <v>1.0135290162583621E-3</v>
      </c>
      <c r="K68" s="1"/>
      <c r="L68" s="1">
        <f t="shared" si="30"/>
        <v>3233.62</v>
      </c>
      <c r="M68" s="1"/>
      <c r="N68" s="5">
        <f t="shared" si="31"/>
        <v>6.3653937007874015</v>
      </c>
      <c r="O68" s="13"/>
      <c r="P68" s="1">
        <f>SUM(OSRRefP22_12x_0)</f>
        <v>19001.09</v>
      </c>
      <c r="Q68" s="1"/>
      <c r="R68" s="5">
        <f t="shared" si="32"/>
        <v>2.232296848467847E-2</v>
      </c>
      <c r="S68" s="1"/>
      <c r="T68" s="1">
        <f>SUM(OSRRefT22_12x_0)</f>
        <v>69800</v>
      </c>
      <c r="U68" s="1"/>
      <c r="V68" s="5">
        <f t="shared" si="33"/>
        <v>2.2183293755116778E-2</v>
      </c>
      <c r="W68" s="1"/>
      <c r="X68" s="1">
        <f t="shared" si="34"/>
        <v>-50798.91</v>
      </c>
      <c r="Y68" s="1"/>
      <c r="Z68" s="5">
        <f t="shared" si="35"/>
        <v>-0.72777808022922641</v>
      </c>
    </row>
    <row r="69" spans="1:26" s="24" customFormat="1" hidden="1" outlineLevel="2" x14ac:dyDescent="0.25">
      <c r="A69" s="26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3.8127715646546927E-2</v>
      </c>
      <c r="G69" s="2"/>
      <c r="H69" s="7"/>
      <c r="I69" s="2"/>
      <c r="J69" s="6">
        <f t="shared" si="29"/>
        <v>0</v>
      </c>
      <c r="K69" s="2"/>
      <c r="L69" s="7">
        <f t="shared" si="30"/>
        <v>3500</v>
      </c>
      <c r="M69" s="2"/>
      <c r="N69" s="6">
        <f t="shared" si="31"/>
        <v>0</v>
      </c>
      <c r="O69" s="11"/>
      <c r="P69" s="7">
        <v>14000</v>
      </c>
      <c r="Q69" s="2"/>
      <c r="R69" s="6">
        <f t="shared" si="32"/>
        <v>1.644755952345358E-2</v>
      </c>
      <c r="S69" s="2"/>
      <c r="T69" s="7">
        <v>56745</v>
      </c>
      <c r="U69" s="2"/>
      <c r="V69" s="6">
        <f t="shared" si="33"/>
        <v>1.8034255073554464E-2</v>
      </c>
      <c r="W69" s="2"/>
      <c r="X69" s="7">
        <f t="shared" si="34"/>
        <v>-42745</v>
      </c>
      <c r="Y69" s="2"/>
      <c r="Z69" s="6">
        <f t="shared" si="35"/>
        <v>-0.75328222750903162</v>
      </c>
    </row>
    <row r="70" spans="1:26" s="24" customFormat="1" hidden="1" outlineLevel="2" x14ac:dyDescent="0.25">
      <c r="A70" s="26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9.7981510955623234E-4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25">
      <c r="A71" s="26"/>
      <c r="B71" s="11" t="str">
        <f>CONCATENATE("          ", "6373", " - ", "MAINTENANCE CONTRACTS")</f>
        <v xml:space="preserve">          6373 - MAINTENANCE CONTRACTS</v>
      </c>
      <c r="C71" s="11"/>
      <c r="D71" s="7">
        <v>241.62</v>
      </c>
      <c r="E71" s="2"/>
      <c r="F71" s="6">
        <f t="shared" si="28"/>
        <v>2.6321196155767628E-3</v>
      </c>
      <c r="G71" s="2"/>
      <c r="H71" s="7">
        <v>58</v>
      </c>
      <c r="I71" s="2"/>
      <c r="J71" s="6">
        <f t="shared" si="29"/>
        <v>1.1571787980902559E-4</v>
      </c>
      <c r="K71" s="2"/>
      <c r="L71" s="7">
        <f t="shared" si="30"/>
        <v>183.62</v>
      </c>
      <c r="M71" s="2"/>
      <c r="N71" s="6">
        <f t="shared" si="31"/>
        <v>3.1658620689655175</v>
      </c>
      <c r="O71" s="11"/>
      <c r="P71" s="7">
        <v>3227.07</v>
      </c>
      <c r="Q71" s="2"/>
      <c r="R71" s="6">
        <f t="shared" si="32"/>
        <v>3.7912447079536675E-3</v>
      </c>
      <c r="S71" s="2"/>
      <c r="T71" s="7">
        <v>5922</v>
      </c>
      <c r="U71" s="2"/>
      <c r="V71" s="6">
        <f t="shared" si="33"/>
        <v>1.8820840346389907E-3</v>
      </c>
      <c r="W71" s="2"/>
      <c r="X71" s="7">
        <f t="shared" si="34"/>
        <v>-2694.93</v>
      </c>
      <c r="Y71" s="2"/>
      <c r="Z71" s="6">
        <f t="shared" si="35"/>
        <v>-0.45507092198581556</v>
      </c>
    </row>
    <row r="72" spans="1:26" s="24" customFormat="1" hidden="1" outlineLevel="2" x14ac:dyDescent="0.25">
      <c r="A72" s="26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28"/>
        <v>0</v>
      </c>
      <c r="G72" s="2"/>
      <c r="H72" s="7">
        <v>450</v>
      </c>
      <c r="I72" s="2"/>
      <c r="J72" s="6">
        <f t="shared" si="29"/>
        <v>8.9781113644933652E-4</v>
      </c>
      <c r="K72" s="2"/>
      <c r="L72" s="7">
        <f t="shared" si="30"/>
        <v>-450</v>
      </c>
      <c r="M72" s="2"/>
      <c r="N72" s="6">
        <f t="shared" si="31"/>
        <v>-1</v>
      </c>
      <c r="O72" s="11"/>
      <c r="P72" s="7">
        <v>1774.02</v>
      </c>
      <c r="Q72" s="2"/>
      <c r="R72" s="6">
        <f t="shared" si="32"/>
        <v>2.0841642532712229E-3</v>
      </c>
      <c r="S72" s="2"/>
      <c r="T72" s="7">
        <v>4050</v>
      </c>
      <c r="U72" s="2"/>
      <c r="V72" s="6">
        <f t="shared" si="33"/>
        <v>1.287139537367091E-3</v>
      </c>
      <c r="W72" s="2"/>
      <c r="X72" s="7">
        <f t="shared" si="34"/>
        <v>-2275.98</v>
      </c>
      <c r="Y72" s="2"/>
      <c r="Z72" s="6">
        <f t="shared" si="35"/>
        <v>-0.56197037037037034</v>
      </c>
    </row>
    <row r="73" spans="1:26" s="25" customFormat="1" outlineLevel="1" collapsed="1" x14ac:dyDescent="0.25">
      <c r="A73" s="27"/>
      <c r="B73" s="13" t="str">
        <f>CONCATENATE("     ","Services                                          ")</f>
        <v xml:space="preserve">     Services                                          </v>
      </c>
      <c r="C73" s="13"/>
      <c r="D73" s="1">
        <f>SUM(OSRRefD22_13x_0)</f>
        <v>15135.97</v>
      </c>
      <c r="E73" s="1"/>
      <c r="F73" s="5">
        <f t="shared" ref="F73:F77" si="36">IF(D$12=0,0,D73/D$12)</f>
        <v>0.16488570291276139</v>
      </c>
      <c r="G73" s="1"/>
      <c r="H73" s="1">
        <f>SUM(OSRRefH22_13x_0)</f>
        <v>19902</v>
      </c>
      <c r="I73" s="1"/>
      <c r="J73" s="5">
        <f t="shared" ref="J73:J77" si="37">IF(H$12=0,0,H73/H$12)</f>
        <v>3.9707193861365987E-2</v>
      </c>
      <c r="K73" s="1"/>
      <c r="L73" s="1">
        <f t="shared" ref="L73:L77" si="38">+D73-H73</f>
        <v>-4766.0300000000007</v>
      </c>
      <c r="M73" s="1"/>
      <c r="N73" s="5">
        <f t="shared" ref="N73:N77" si="39">IF(H73=0,0,L73/H73)</f>
        <v>-0.23947492714300073</v>
      </c>
      <c r="O73" s="13"/>
      <c r="P73" s="1">
        <f>SUM(OSRRefP22_13x_0)</f>
        <v>104235.15</v>
      </c>
      <c r="Q73" s="1"/>
      <c r="R73" s="5">
        <f t="shared" ref="R73:R77" si="40">IF(P$12=0,0,P73/P$12)</f>
        <v>0.12245813100436516</v>
      </c>
      <c r="S73" s="1"/>
      <c r="T73" s="1">
        <f>SUM(OSRRefT22_13x_0)</f>
        <v>174156</v>
      </c>
      <c r="U73" s="1"/>
      <c r="V73" s="5">
        <f t="shared" ref="V73:V77" si="41">IF(T$12=0,0,T73/T$12)</f>
        <v>5.5348906980173598E-2</v>
      </c>
      <c r="W73" s="1"/>
      <c r="X73" s="1">
        <f t="shared" ref="X73:X77" si="42">+P73-T73</f>
        <v>-69920.850000000006</v>
      </c>
      <c r="Y73" s="1"/>
      <c r="Z73" s="5">
        <f t="shared" ref="Z73:Z77" si="43">IF(T73=0,0,X73/T73)</f>
        <v>-0.40148401433197828</v>
      </c>
    </row>
    <row r="74" spans="1:26" s="24" customFormat="1" hidden="1" outlineLevel="2" x14ac:dyDescent="0.25">
      <c r="A74" s="26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2177.94</v>
      </c>
      <c r="E74" s="2"/>
      <c r="F74" s="6">
        <f t="shared" si="36"/>
        <v>2.3725679147211548E-2</v>
      </c>
      <c r="G74" s="2"/>
      <c r="H74" s="7">
        <v>1750</v>
      </c>
      <c r="I74" s="2"/>
      <c r="J74" s="6">
        <f t="shared" si="37"/>
        <v>3.4914877528585309E-3</v>
      </c>
      <c r="K74" s="2"/>
      <c r="L74" s="7">
        <f t="shared" si="38"/>
        <v>427.94000000000005</v>
      </c>
      <c r="M74" s="2"/>
      <c r="N74" s="6">
        <f t="shared" si="39"/>
        <v>0.2445371428571429</v>
      </c>
      <c r="O74" s="11"/>
      <c r="P74" s="7">
        <v>12094.59</v>
      </c>
      <c r="Q74" s="2"/>
      <c r="R74" s="6">
        <f t="shared" si="40"/>
        <v>1.4209034924054745E-2</v>
      </c>
      <c r="S74" s="2"/>
      <c r="T74" s="7">
        <v>15750</v>
      </c>
      <c r="U74" s="2"/>
      <c r="V74" s="6">
        <f t="shared" si="41"/>
        <v>5.0055426453164643E-3</v>
      </c>
      <c r="W74" s="2"/>
      <c r="X74" s="7">
        <f t="shared" si="42"/>
        <v>-3655.41</v>
      </c>
      <c r="Y74" s="2"/>
      <c r="Z74" s="6">
        <f t="shared" si="43"/>
        <v>-0.2320895238095238</v>
      </c>
    </row>
    <row r="75" spans="1:26" s="24" customFormat="1" hidden="1" outlineLevel="2" x14ac:dyDescent="0.25">
      <c r="A75" s="26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9.9756792938815171E-4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>
        <v>282.75</v>
      </c>
      <c r="Q75" s="2"/>
      <c r="R75" s="6">
        <f t="shared" si="40"/>
        <v>3.3218196108974996E-4</v>
      </c>
      <c r="S75" s="2"/>
      <c r="T75" s="7">
        <v>4500</v>
      </c>
      <c r="U75" s="2"/>
      <c r="V75" s="6">
        <f t="shared" si="41"/>
        <v>1.4301550415189899E-3</v>
      </c>
      <c r="W75" s="2"/>
      <c r="X75" s="7">
        <f t="shared" si="42"/>
        <v>-4217.25</v>
      </c>
      <c r="Y75" s="2"/>
      <c r="Z75" s="6">
        <f t="shared" si="43"/>
        <v>-0.9371666666666667</v>
      </c>
    </row>
    <row r="76" spans="1:26" s="24" customFormat="1" hidden="1" outlineLevel="2" x14ac:dyDescent="0.25">
      <c r="A76" s="26"/>
      <c r="B76" s="11" t="str">
        <f>CONCATENATE("          ", "6285", " - ", "JANITORIAL SERVICES")</f>
        <v xml:space="preserve">          6285 - JANITORIAL SERVICES</v>
      </c>
      <c r="C76" s="11"/>
      <c r="D76" s="7">
        <v>12079.8</v>
      </c>
      <c r="E76" s="2"/>
      <c r="F76" s="6">
        <f t="shared" si="36"/>
        <v>0.13159290841918789</v>
      </c>
      <c r="G76" s="2"/>
      <c r="H76" s="7">
        <v>13152</v>
      </c>
      <c r="I76" s="2"/>
      <c r="J76" s="6">
        <f t="shared" si="37"/>
        <v>2.6240026814625943E-2</v>
      </c>
      <c r="K76" s="2"/>
      <c r="L76" s="7">
        <f t="shared" si="38"/>
        <v>-1072.2000000000007</v>
      </c>
      <c r="M76" s="2"/>
      <c r="N76" s="6">
        <f t="shared" si="39"/>
        <v>-8.1523722627737286E-2</v>
      </c>
      <c r="O76" s="11"/>
      <c r="P76" s="7">
        <v>79176.160000000003</v>
      </c>
      <c r="Q76" s="2"/>
      <c r="R76" s="6">
        <f t="shared" si="40"/>
        <v>9.3018186031320324E-2</v>
      </c>
      <c r="S76" s="2"/>
      <c r="T76" s="7">
        <v>113406</v>
      </c>
      <c r="U76" s="2"/>
      <c r="V76" s="6">
        <f t="shared" si="41"/>
        <v>3.6041813919667237E-2</v>
      </c>
      <c r="W76" s="2"/>
      <c r="X76" s="7">
        <f t="shared" si="42"/>
        <v>-34229.839999999997</v>
      </c>
      <c r="Y76" s="2"/>
      <c r="Z76" s="6">
        <f t="shared" si="43"/>
        <v>-0.30183447083928538</v>
      </c>
    </row>
    <row r="77" spans="1:26" s="24" customFormat="1" hidden="1" outlineLevel="2" x14ac:dyDescent="0.25">
      <c r="A77" s="26"/>
      <c r="B77" s="11" t="str">
        <f>CONCATENATE("          ", "6286", " - ", "LAUNDRY EXPENSE")</f>
        <v xml:space="preserve">          6286 - LAUNDRY EXPENSE</v>
      </c>
      <c r="C77" s="11"/>
      <c r="D77" s="7">
        <v>878.23</v>
      </c>
      <c r="E77" s="2"/>
      <c r="F77" s="6">
        <f t="shared" si="36"/>
        <v>9.5671153463619749E-3</v>
      </c>
      <c r="G77" s="2"/>
      <c r="H77" s="7">
        <v>4500</v>
      </c>
      <c r="I77" s="2"/>
      <c r="J77" s="6">
        <f t="shared" si="37"/>
        <v>8.9781113644933647E-3</v>
      </c>
      <c r="K77" s="2"/>
      <c r="L77" s="7">
        <f t="shared" si="38"/>
        <v>-3621.77</v>
      </c>
      <c r="M77" s="2"/>
      <c r="N77" s="6">
        <f t="shared" si="39"/>
        <v>-0.80483777777777776</v>
      </c>
      <c r="O77" s="11"/>
      <c r="P77" s="7">
        <v>12681.65</v>
      </c>
      <c r="Q77" s="2"/>
      <c r="R77" s="6">
        <f t="shared" si="40"/>
        <v>1.4898728087900364E-2</v>
      </c>
      <c r="S77" s="2"/>
      <c r="T77" s="7">
        <v>40500</v>
      </c>
      <c r="U77" s="2"/>
      <c r="V77" s="6">
        <f t="shared" si="41"/>
        <v>1.2871395373670909E-2</v>
      </c>
      <c r="W77" s="2"/>
      <c r="X77" s="7">
        <f t="shared" si="42"/>
        <v>-27818.35</v>
      </c>
      <c r="Y77" s="2"/>
      <c r="Z77" s="6">
        <f t="shared" si="43"/>
        <v>-0.68687283950617284</v>
      </c>
    </row>
    <row r="78" spans="1:26" s="25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3"/>
      <c r="P78" s="1">
        <f>SUM(OSRRefP22_14x_0)</f>
        <v>795</v>
      </c>
      <c r="Q78" s="1"/>
      <c r="R78" s="5">
        <f t="shared" ref="R78:R90" si="48">IF(P$12=0,0,P78/P$12)</f>
        <v>9.3398641579611405E-4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6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9.3398641579611405E-4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5" customFormat="1" outlineLevel="1" collapsed="1" x14ac:dyDescent="0.25">
      <c r="A80" s="27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SUM(OSRRefD22_15x_0)</f>
        <v>7489.21</v>
      </c>
      <c r="E80" s="1"/>
      <c r="F80" s="5">
        <f t="shared" si="44"/>
        <v>8.1584705513507355E-2</v>
      </c>
      <c r="G80" s="1"/>
      <c r="H80" s="1">
        <f>SUM(OSRRefH22_15x_0)</f>
        <v>25888</v>
      </c>
      <c r="I80" s="1"/>
      <c r="J80" s="5">
        <f t="shared" si="45"/>
        <v>5.1650077112000939E-2</v>
      </c>
      <c r="K80" s="1"/>
      <c r="L80" s="1">
        <f t="shared" si="46"/>
        <v>-18398.79</v>
      </c>
      <c r="M80" s="1"/>
      <c r="N80" s="5">
        <f t="shared" si="47"/>
        <v>-0.71070727750309026</v>
      </c>
      <c r="O80" s="13"/>
      <c r="P80" s="1">
        <f>SUM(OSRRefP22_15x_0)</f>
        <v>120060.58</v>
      </c>
      <c r="Q80" s="1"/>
      <c r="R80" s="5">
        <f t="shared" si="48"/>
        <v>0.14105025256931145</v>
      </c>
      <c r="S80" s="1"/>
      <c r="T80" s="1">
        <f>SUM(OSRRefT22_15x_0)</f>
        <v>227894</v>
      </c>
      <c r="U80" s="1"/>
      <c r="V80" s="5">
        <f t="shared" si="49"/>
        <v>7.2427500673761927E-2</v>
      </c>
      <c r="W80" s="1"/>
      <c r="X80" s="1">
        <f t="shared" si="50"/>
        <v>-107833.42</v>
      </c>
      <c r="Y80" s="1"/>
      <c r="Z80" s="5">
        <f t="shared" si="51"/>
        <v>-0.47317358069979903</v>
      </c>
    </row>
    <row r="81" spans="1:26" s="24" customFormat="1" hidden="1" outlineLevel="2" x14ac:dyDescent="0.25">
      <c r="A81" s="26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1.9951358587763033E-4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900</v>
      </c>
      <c r="U81" s="2"/>
      <c r="V81" s="6">
        <f t="shared" si="49"/>
        <v>2.8603100830379798E-4</v>
      </c>
      <c r="W81" s="2"/>
      <c r="X81" s="7">
        <f t="shared" si="50"/>
        <v>-900</v>
      </c>
      <c r="Y81" s="2"/>
      <c r="Z81" s="6">
        <f t="shared" si="51"/>
        <v>-1</v>
      </c>
    </row>
    <row r="82" spans="1:26" s="24" customFormat="1" hidden="1" outlineLevel="2" x14ac:dyDescent="0.25">
      <c r="A82" s="26"/>
      <c r="B82" s="11" t="str">
        <f>CONCATENATE("          ", "6235", " - ", "COVID-19 EXPENSES")</f>
        <v xml:space="preserve">          6235 - COVID-19 EXPENSES</v>
      </c>
      <c r="C82" s="11"/>
      <c r="D82" s="7"/>
      <c r="E82" s="2"/>
      <c r="F82" s="6">
        <f t="shared" si="44"/>
        <v>0</v>
      </c>
      <c r="G82" s="2"/>
      <c r="H82" s="7">
        <v>12200</v>
      </c>
      <c r="I82" s="2"/>
      <c r="J82" s="6">
        <f t="shared" si="45"/>
        <v>2.4340657477070902E-2</v>
      </c>
      <c r="K82" s="2"/>
      <c r="L82" s="7">
        <f t="shared" si="46"/>
        <v>-12200</v>
      </c>
      <c r="M82" s="2"/>
      <c r="N82" s="6">
        <f t="shared" si="47"/>
        <v>-1</v>
      </c>
      <c r="O82" s="11"/>
      <c r="P82" s="7">
        <v>53569.55</v>
      </c>
      <c r="Q82" s="2"/>
      <c r="R82" s="6">
        <f t="shared" si="48"/>
        <v>6.2934883019258772E-2</v>
      </c>
      <c r="S82" s="2"/>
      <c r="T82" s="7">
        <v>102800</v>
      </c>
      <c r="U82" s="2"/>
      <c r="V82" s="6">
        <f t="shared" si="49"/>
        <v>3.2671097392922704E-2</v>
      </c>
      <c r="W82" s="2"/>
      <c r="X82" s="7">
        <f t="shared" si="50"/>
        <v>-49230.45</v>
      </c>
      <c r="Y82" s="2"/>
      <c r="Z82" s="6">
        <f t="shared" si="51"/>
        <v>-0.47889542801556417</v>
      </c>
    </row>
    <row r="83" spans="1:26" s="24" customFormat="1" hidden="1" outlineLevel="2" x14ac:dyDescent="0.25">
      <c r="A83" s="26"/>
      <c r="B83" s="11" t="str">
        <f>CONCATENATE("          ", "6237", " - ", "JANITORIAL SUPPLIES")</f>
        <v xml:space="preserve">          6237 - JANITORIAL SUPPLIES</v>
      </c>
      <c r="C83" s="11"/>
      <c r="D83" s="7">
        <v>1954.49</v>
      </c>
      <c r="E83" s="2"/>
      <c r="F83" s="6">
        <f t="shared" si="44"/>
        <v>2.1291496844005574E-2</v>
      </c>
      <c r="G83" s="2"/>
      <c r="H83" s="7">
        <v>9000</v>
      </c>
      <c r="I83" s="2"/>
      <c r="J83" s="6">
        <f t="shared" si="45"/>
        <v>1.7956222728986729E-2</v>
      </c>
      <c r="K83" s="2"/>
      <c r="L83" s="7">
        <f t="shared" si="46"/>
        <v>-7045.51</v>
      </c>
      <c r="M83" s="2"/>
      <c r="N83" s="6">
        <f t="shared" si="47"/>
        <v>-0.7828344444444445</v>
      </c>
      <c r="O83" s="11"/>
      <c r="P83" s="7">
        <v>19839.29</v>
      </c>
      <c r="Q83" s="2"/>
      <c r="R83" s="6">
        <f t="shared" si="48"/>
        <v>2.3307707369861243E-2</v>
      </c>
      <c r="S83" s="2"/>
      <c r="T83" s="7">
        <v>77000</v>
      </c>
      <c r="U83" s="2"/>
      <c r="V83" s="6">
        <f t="shared" si="49"/>
        <v>2.447154182154716E-2</v>
      </c>
      <c r="W83" s="2"/>
      <c r="X83" s="7">
        <f t="shared" si="50"/>
        <v>-57160.71</v>
      </c>
      <c r="Y83" s="2"/>
      <c r="Z83" s="6">
        <f t="shared" si="51"/>
        <v>-0.74234688311688313</v>
      </c>
    </row>
    <row r="84" spans="1:26" s="24" customFormat="1" hidden="1" outlineLevel="2" x14ac:dyDescent="0.25">
      <c r="A84" s="26"/>
      <c r="B84" s="11" t="str">
        <f>CONCATENATE("          ", "6239", " - ", "KITCHEN SUPPLIES")</f>
        <v xml:space="preserve">          6239 - KITCHEN SUPPLIES</v>
      </c>
      <c r="C84" s="11"/>
      <c r="D84" s="7">
        <v>39.75</v>
      </c>
      <c r="E84" s="2"/>
      <c r="F84" s="6">
        <f t="shared" si="44"/>
        <v>4.3302191341435442E-4</v>
      </c>
      <c r="G84" s="2"/>
      <c r="H84" s="7">
        <v>2300</v>
      </c>
      <c r="I84" s="2"/>
      <c r="J84" s="6">
        <f t="shared" si="45"/>
        <v>4.588812475185498E-3</v>
      </c>
      <c r="K84" s="2"/>
      <c r="L84" s="7">
        <f t="shared" si="46"/>
        <v>-2260.25</v>
      </c>
      <c r="M84" s="2"/>
      <c r="N84" s="6">
        <f t="shared" si="47"/>
        <v>-0.98271739130434788</v>
      </c>
      <c r="O84" s="11"/>
      <c r="P84" s="7">
        <v>7087.08</v>
      </c>
      <c r="Q84" s="2"/>
      <c r="R84" s="6">
        <f t="shared" si="48"/>
        <v>8.3260835819626705E-3</v>
      </c>
      <c r="S84" s="2"/>
      <c r="T84" s="7">
        <v>19900</v>
      </c>
      <c r="U84" s="2"/>
      <c r="V84" s="6">
        <f t="shared" si="49"/>
        <v>6.3244634058284219E-3</v>
      </c>
      <c r="W84" s="2"/>
      <c r="X84" s="7">
        <f t="shared" si="50"/>
        <v>-12812.92</v>
      </c>
      <c r="Y84" s="2"/>
      <c r="Z84" s="6">
        <f t="shared" si="51"/>
        <v>-0.64386532663316587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7">
        <v>1406.91</v>
      </c>
      <c r="E85" s="2"/>
      <c r="F85" s="6">
        <f t="shared" si="44"/>
        <v>1.5326361262938099E-2</v>
      </c>
      <c r="G85" s="2"/>
      <c r="H85" s="7">
        <v>1000</v>
      </c>
      <c r="I85" s="2"/>
      <c r="J85" s="6">
        <f t="shared" si="45"/>
        <v>1.9951358587763034E-3</v>
      </c>
      <c r="K85" s="2"/>
      <c r="L85" s="7">
        <f t="shared" si="46"/>
        <v>406.91000000000008</v>
      </c>
      <c r="M85" s="2"/>
      <c r="N85" s="6">
        <f t="shared" si="47"/>
        <v>0.4069100000000001</v>
      </c>
      <c r="O85" s="11"/>
      <c r="P85" s="7">
        <v>6722.52</v>
      </c>
      <c r="Q85" s="2"/>
      <c r="R85" s="6">
        <f t="shared" si="48"/>
        <v>7.8977891319719409E-3</v>
      </c>
      <c r="S85" s="2"/>
      <c r="T85" s="7">
        <v>8750</v>
      </c>
      <c r="U85" s="2"/>
      <c r="V85" s="6">
        <f t="shared" si="49"/>
        <v>2.7808570251758136E-3</v>
      </c>
      <c r="W85" s="2"/>
      <c r="X85" s="7">
        <f t="shared" si="50"/>
        <v>-2027.4799999999996</v>
      </c>
      <c r="Y85" s="2"/>
      <c r="Z85" s="6">
        <f t="shared" si="51"/>
        <v>-0.23171199999999995</v>
      </c>
    </row>
    <row r="86" spans="1:26" s="24" customFormat="1" hidden="1" outlineLevel="2" x14ac:dyDescent="0.25">
      <c r="A86" s="26"/>
      <c r="B86" s="11" t="str">
        <f>CONCATENATE("          ", "6243", " - ", "PAPER SUPPLIES")</f>
        <v xml:space="preserve">          6243 - PAPER SUPPLIES</v>
      </c>
      <c r="C86" s="11"/>
      <c r="D86" s="7">
        <v>4088.06</v>
      </c>
      <c r="E86" s="2"/>
      <c r="F86" s="6">
        <f t="shared" si="44"/>
        <v>4.4533825493149326E-2</v>
      </c>
      <c r="G86" s="2"/>
      <c r="H86" s="7">
        <v>500</v>
      </c>
      <c r="I86" s="2"/>
      <c r="J86" s="6">
        <f t="shared" si="45"/>
        <v>9.9756792938815171E-4</v>
      </c>
      <c r="K86" s="2"/>
      <c r="L86" s="7">
        <f t="shared" si="46"/>
        <v>3588.06</v>
      </c>
      <c r="M86" s="2"/>
      <c r="N86" s="6">
        <f t="shared" si="47"/>
        <v>7.1761200000000001</v>
      </c>
      <c r="O86" s="11"/>
      <c r="P86" s="7">
        <v>28341.55</v>
      </c>
      <c r="Q86" s="2"/>
      <c r="R86" s="6">
        <f t="shared" si="48"/>
        <v>3.3296380757995417E-2</v>
      </c>
      <c r="S86" s="2"/>
      <c r="T86" s="7">
        <v>4500</v>
      </c>
      <c r="U86" s="2"/>
      <c r="V86" s="6">
        <f t="shared" si="49"/>
        <v>1.4301550415189899E-3</v>
      </c>
      <c r="W86" s="2"/>
      <c r="X86" s="7">
        <f t="shared" si="50"/>
        <v>23841.55</v>
      </c>
      <c r="Y86" s="2"/>
      <c r="Z86" s="6">
        <f t="shared" si="51"/>
        <v>5.2981222222222222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120</v>
      </c>
      <c r="I87" s="2"/>
      <c r="J87" s="6">
        <f t="shared" si="45"/>
        <v>2.3941630305315641E-4</v>
      </c>
      <c r="K87" s="2"/>
      <c r="L87" s="7">
        <f t="shared" si="46"/>
        <v>-120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1200</v>
      </c>
      <c r="U87" s="2"/>
      <c r="V87" s="6">
        <f t="shared" si="49"/>
        <v>3.8137467773839733E-4</v>
      </c>
      <c r="W87" s="2"/>
      <c r="X87" s="7">
        <f t="shared" si="50"/>
        <v>-1200</v>
      </c>
      <c r="Y87" s="2"/>
      <c r="Z87" s="6">
        <f t="shared" si="51"/>
        <v>-1</v>
      </c>
    </row>
    <row r="88" spans="1:26" s="24" customFormat="1" hidden="1" outlineLevel="2" x14ac:dyDescent="0.25">
      <c r="A88" s="26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2.9927037881644552E-4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2350</v>
      </c>
      <c r="U88" s="2"/>
      <c r="V88" s="6">
        <f t="shared" si="49"/>
        <v>7.4685874390436138E-4</v>
      </c>
      <c r="W88" s="2"/>
      <c r="X88" s="7">
        <f t="shared" si="50"/>
        <v>-2350</v>
      </c>
      <c r="Y88" s="2"/>
      <c r="Z88" s="6">
        <f t="shared" si="51"/>
        <v>-1</v>
      </c>
    </row>
    <row r="89" spans="1:26" s="24" customFormat="1" hidden="1" outlineLevel="2" x14ac:dyDescent="0.25">
      <c r="A89" s="26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3.5912445457973464E-5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144</v>
      </c>
      <c r="U89" s="2"/>
      <c r="V89" s="6">
        <f t="shared" si="49"/>
        <v>4.5764961328607678E-5</v>
      </c>
      <c r="W89" s="2"/>
      <c r="X89" s="7">
        <f t="shared" si="50"/>
        <v>-144</v>
      </c>
      <c r="Y89" s="2"/>
      <c r="Z89" s="6">
        <f t="shared" si="51"/>
        <v>-1</v>
      </c>
    </row>
    <row r="90" spans="1:26" s="24" customFormat="1" hidden="1" outlineLevel="2" x14ac:dyDescent="0.25">
      <c r="A90" s="26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500</v>
      </c>
      <c r="I90" s="2"/>
      <c r="J90" s="6">
        <f t="shared" si="45"/>
        <v>9.9756792938815171E-4</v>
      </c>
      <c r="K90" s="2"/>
      <c r="L90" s="7">
        <f t="shared" si="46"/>
        <v>-500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5.2874087082614247E-3</v>
      </c>
      <c r="S90" s="2"/>
      <c r="T90" s="7">
        <v>10350</v>
      </c>
      <c r="U90" s="2"/>
      <c r="V90" s="6">
        <f t="shared" si="49"/>
        <v>3.2893565954936767E-3</v>
      </c>
      <c r="W90" s="2"/>
      <c r="X90" s="7">
        <f t="shared" si="50"/>
        <v>-5849.41</v>
      </c>
      <c r="Y90" s="2"/>
      <c r="Z90" s="6">
        <f t="shared" si="51"/>
        <v>-0.56516038647342992</v>
      </c>
    </row>
    <row r="91" spans="1:26" s="25" customFormat="1" outlineLevel="1" collapsed="1" x14ac:dyDescent="0.25">
      <c r="A91" s="27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SUM(OSRRefD22_16x_0)</f>
        <v>248</v>
      </c>
      <c r="E91" s="1"/>
      <c r="F91" s="5">
        <f t="shared" ref="F91:F93" si="52">IF(D$12=0,0,D91/D$12)</f>
        <v>2.7016209943838969E-3</v>
      </c>
      <c r="G91" s="1"/>
      <c r="H91" s="1">
        <f>SUM(OSRRefH22_16x_0)</f>
        <v>725</v>
      </c>
      <c r="I91" s="1"/>
      <c r="J91" s="5">
        <f t="shared" ref="J91:J93" si="53">IF(H$12=0,0,H91/H$12)</f>
        <v>1.4464734976128199E-3</v>
      </c>
      <c r="K91" s="1"/>
      <c r="L91" s="1">
        <f t="shared" ref="L91:L93" si="54">+D91-H91</f>
        <v>-477</v>
      </c>
      <c r="M91" s="1"/>
      <c r="N91" s="5">
        <f t="shared" ref="N91:N93" si="55">IF(H91=0,0,L91/H91)</f>
        <v>-0.65793103448275858</v>
      </c>
      <c r="O91" s="13"/>
      <c r="P91" s="1">
        <f>SUM(OSRRefP22_16x_0)</f>
        <v>4527.32</v>
      </c>
      <c r="Q91" s="1"/>
      <c r="R91" s="5">
        <f t="shared" ref="R91:R93" si="56">IF(P$12=0,0,P91/P$12)</f>
        <v>5.3188117986944184E-3</v>
      </c>
      <c r="S91" s="1"/>
      <c r="T91" s="1">
        <f>SUM(OSRRefT22_16x_0)</f>
        <v>6525</v>
      </c>
      <c r="U91" s="1"/>
      <c r="V91" s="5">
        <f t="shared" ref="V91:V93" si="57">IF(T$12=0,0,T91/T$12)</f>
        <v>2.0737248102025356E-3</v>
      </c>
      <c r="W91" s="1"/>
      <c r="X91" s="1">
        <f t="shared" ref="X91:X93" si="58">+P91-T91</f>
        <v>-1997.6800000000003</v>
      </c>
      <c r="Y91" s="1"/>
      <c r="Z91" s="5">
        <f t="shared" ref="Z91:Z93" si="59">IF(T91=0,0,X91/T91)</f>
        <v>-0.3061578544061303</v>
      </c>
    </row>
    <row r="92" spans="1:26" s="24" customFormat="1" hidden="1" outlineLevel="2" x14ac:dyDescent="0.25">
      <c r="A92" s="26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9.9756792938815171E-4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4500</v>
      </c>
      <c r="U92" s="2"/>
      <c r="V92" s="6">
        <f t="shared" si="57"/>
        <v>1.4301550415189899E-3</v>
      </c>
      <c r="W92" s="2"/>
      <c r="X92" s="7">
        <f t="shared" si="58"/>
        <v>-4500</v>
      </c>
      <c r="Y92" s="2"/>
      <c r="Z92" s="6">
        <f t="shared" si="59"/>
        <v>-1</v>
      </c>
    </row>
    <row r="93" spans="1:26" s="24" customFormat="1" hidden="1" outlineLevel="2" x14ac:dyDescent="0.25">
      <c r="A93" s="26"/>
      <c r="B93" s="11" t="str">
        <f>CONCATENATE("          ", "6309", " - ", "TELEPHONE")</f>
        <v xml:space="preserve">          6309 - TELEPHONE</v>
      </c>
      <c r="C93" s="11"/>
      <c r="D93" s="7">
        <v>248</v>
      </c>
      <c r="E93" s="2"/>
      <c r="F93" s="6">
        <f t="shared" si="52"/>
        <v>2.7016209943838969E-3</v>
      </c>
      <c r="G93" s="2"/>
      <c r="H93" s="7">
        <v>225</v>
      </c>
      <c r="I93" s="2"/>
      <c r="J93" s="6">
        <f t="shared" si="53"/>
        <v>4.4890556822466826E-4</v>
      </c>
      <c r="K93" s="2"/>
      <c r="L93" s="7">
        <f t="shared" si="54"/>
        <v>23</v>
      </c>
      <c r="M93" s="2"/>
      <c r="N93" s="6">
        <f t="shared" si="55"/>
        <v>0.10222222222222223</v>
      </c>
      <c r="O93" s="11"/>
      <c r="P93" s="7">
        <v>4527.32</v>
      </c>
      <c r="Q93" s="2"/>
      <c r="R93" s="6">
        <f t="shared" si="56"/>
        <v>5.3188117986944184E-3</v>
      </c>
      <c r="S93" s="2"/>
      <c r="T93" s="7">
        <v>2025</v>
      </c>
      <c r="U93" s="2"/>
      <c r="V93" s="6">
        <f t="shared" si="57"/>
        <v>6.435697686835455E-4</v>
      </c>
      <c r="W93" s="2"/>
      <c r="X93" s="7">
        <f t="shared" si="58"/>
        <v>2502.3199999999997</v>
      </c>
      <c r="Y93" s="2"/>
      <c r="Z93" s="6">
        <f t="shared" si="59"/>
        <v>1.2357135802469135</v>
      </c>
    </row>
    <row r="94" spans="1:26" s="25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SUM(OSRRefD22_17x_0)</f>
        <v>51.23</v>
      </c>
      <c r="E94" s="1"/>
      <c r="F94" s="5">
        <f t="shared" ref="F94:F97" si="60">IF(D$12=0,0,D94/D$12)</f>
        <v>5.580808207350283E-4</v>
      </c>
      <c r="G94" s="1"/>
      <c r="H94" s="1">
        <f>SUM(OSRRefH22_17x_0)</f>
        <v>750</v>
      </c>
      <c r="I94" s="1"/>
      <c r="J94" s="5">
        <f t="shared" ref="J94:J97" si="61">IF(H$12=0,0,H94/H$12)</f>
        <v>1.4963518940822275E-3</v>
      </c>
      <c r="K94" s="1"/>
      <c r="L94" s="1">
        <f t="shared" ref="L94:L97" si="62">+D94-H94</f>
        <v>-698.77</v>
      </c>
      <c r="M94" s="1"/>
      <c r="N94" s="5">
        <f t="shared" ref="N94:N97" si="63">IF(H94=0,0,L94/H94)</f>
        <v>-0.93169333333333326</v>
      </c>
      <c r="O94" s="13"/>
      <c r="P94" s="1">
        <f>SUM(OSRRefP22_17x_0)</f>
        <v>786.23</v>
      </c>
      <c r="Q94" s="1"/>
      <c r="R94" s="5">
        <f t="shared" ref="R94:R97" si="64">IF(P$12=0,0,P94/P$12)</f>
        <v>9.2368319458035065E-4</v>
      </c>
      <c r="S94" s="1"/>
      <c r="T94" s="1">
        <f>SUM(OSRRefT22_17x_0)</f>
        <v>7900</v>
      </c>
      <c r="U94" s="1"/>
      <c r="V94" s="5">
        <f t="shared" ref="V94:V97" si="65">IF(T$12=0,0,T94/T$12)</f>
        <v>2.5107166284444489E-3</v>
      </c>
      <c r="W94" s="1"/>
      <c r="X94" s="1">
        <f t="shared" ref="X94:X97" si="66">+P94-T94</f>
        <v>-7113.77</v>
      </c>
      <c r="Y94" s="1"/>
      <c r="Z94" s="5">
        <f t="shared" ref="Z94:Z97" si="67">IF(T94=0,0,X94/T94)</f>
        <v>-0.90047721518987345</v>
      </c>
    </row>
    <row r="95" spans="1:26" s="24" customFormat="1" hidden="1" outlineLevel="2" x14ac:dyDescent="0.25">
      <c r="A95" s="26"/>
      <c r="B95" s="11" t="str">
        <f>CONCATENATE("          ", "6376", " - ", "TRAINING")</f>
        <v xml:space="preserve">          6376 - TRAINING</v>
      </c>
      <c r="C95" s="11"/>
      <c r="D95" s="7">
        <v>51.23</v>
      </c>
      <c r="E95" s="2"/>
      <c r="F95" s="6">
        <f t="shared" si="60"/>
        <v>5.580808207350283E-4</v>
      </c>
      <c r="G95" s="2"/>
      <c r="H95" s="7">
        <v>750</v>
      </c>
      <c r="I95" s="2"/>
      <c r="J95" s="6">
        <f t="shared" si="61"/>
        <v>1.4963518940822275E-3</v>
      </c>
      <c r="K95" s="2"/>
      <c r="L95" s="7">
        <f t="shared" si="62"/>
        <v>-698.77</v>
      </c>
      <c r="M95" s="2"/>
      <c r="N95" s="6">
        <f t="shared" si="63"/>
        <v>-0.93169333333333326</v>
      </c>
      <c r="O95" s="11"/>
      <c r="P95" s="7">
        <v>786.23</v>
      </c>
      <c r="Q95" s="2"/>
      <c r="R95" s="6">
        <f t="shared" si="64"/>
        <v>9.2368319458035065E-4</v>
      </c>
      <c r="S95" s="2"/>
      <c r="T95" s="7">
        <v>7900</v>
      </c>
      <c r="U95" s="2"/>
      <c r="V95" s="6">
        <f t="shared" si="65"/>
        <v>2.5107166284444489E-3</v>
      </c>
      <c r="W95" s="2"/>
      <c r="X95" s="7">
        <f t="shared" si="66"/>
        <v>-7113.77</v>
      </c>
      <c r="Y95" s="2"/>
      <c r="Z95" s="6">
        <f t="shared" si="67"/>
        <v>-0.90047721518987345</v>
      </c>
    </row>
    <row r="96" spans="1:26" s="25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5.9854075763289105E-4</v>
      </c>
      <c r="K96" s="1"/>
      <c r="L96" s="1">
        <f t="shared" si="62"/>
        <v>-300</v>
      </c>
      <c r="M96" s="1"/>
      <c r="N96" s="5">
        <f t="shared" si="63"/>
        <v>-1</v>
      </c>
      <c r="O96" s="13"/>
      <c r="P96" s="1">
        <f>SUM(OSRRefP22_18x_0)</f>
        <v>0</v>
      </c>
      <c r="Q96" s="1"/>
      <c r="R96" s="5">
        <f t="shared" si="64"/>
        <v>0</v>
      </c>
      <c r="S96" s="1"/>
      <c r="T96" s="1">
        <f>SUM(OSRRefT22_18x_0)</f>
        <v>2700</v>
      </c>
      <c r="U96" s="1"/>
      <c r="V96" s="5">
        <f t="shared" si="65"/>
        <v>8.580930249113939E-4</v>
      </c>
      <c r="W96" s="1"/>
      <c r="X96" s="1">
        <f t="shared" si="66"/>
        <v>-2700</v>
      </c>
      <c r="Y96" s="1"/>
      <c r="Z96" s="5">
        <f t="shared" si="67"/>
        <v>-1</v>
      </c>
    </row>
    <row r="97" spans="1:26" s="24" customFormat="1" hidden="1" outlineLevel="2" x14ac:dyDescent="0.25">
      <c r="A97" s="26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5.9854075763289105E-4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2700</v>
      </c>
      <c r="U97" s="2"/>
      <c r="V97" s="6">
        <f t="shared" si="65"/>
        <v>8.580930249113939E-4</v>
      </c>
      <c r="W97" s="2"/>
      <c r="X97" s="7">
        <f t="shared" si="66"/>
        <v>-2700</v>
      </c>
      <c r="Y97" s="2"/>
      <c r="Z97" s="6">
        <f t="shared" si="67"/>
        <v>-1</v>
      </c>
    </row>
    <row r="98" spans="1:26" s="59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8" t="s">
        <v>293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277</v>
      </c>
      <c r="C101" s="29"/>
      <c r="D101" s="20">
        <f>+D23-D25+D99</f>
        <v>-175959.91999999995</v>
      </c>
      <c r="E101" s="14"/>
      <c r="F101" s="21">
        <f>IF(D$12=0,0,D101/D$12)</f>
        <v>-1.9168427985568983</v>
      </c>
      <c r="G101" s="14"/>
      <c r="H101" s="20">
        <f>+H23-H25+H99</f>
        <v>285.69917462387821</v>
      </c>
      <c r="I101" s="14"/>
      <c r="J101" s="21">
        <f>IF(H$12=0,0,H101/H$12)</f>
        <v>5.7000866811489229E-4</v>
      </c>
      <c r="K101" s="16"/>
      <c r="L101" s="20">
        <f>+D101-H101</f>
        <v>-176245.61917462383</v>
      </c>
      <c r="M101" s="16"/>
      <c r="N101" s="21">
        <f>IF(H101=0,0,L101/H101)</f>
        <v>-616.8922938144658</v>
      </c>
      <c r="O101" s="28"/>
      <c r="P101" s="20">
        <f>+P23-P25+P99</f>
        <v>-1539158.9600000004</v>
      </c>
      <c r="Q101" s="14"/>
      <c r="R101" s="21">
        <f>IF(P$12=0,0,P101/P$12)</f>
        <v>-1.8082434721897795</v>
      </c>
      <c r="S101" s="14"/>
      <c r="T101" s="20">
        <f>+T23-T25+T99</f>
        <v>-986988.63958998024</v>
      </c>
      <c r="U101" s="14"/>
      <c r="V101" s="21">
        <f>IF(T$12=0,0,T101/T$12)</f>
        <v>-0.31367706196257322</v>
      </c>
      <c r="W101" s="16"/>
      <c r="X101" s="20">
        <f>+P101-T101</f>
        <v>-552170.32041002018</v>
      </c>
      <c r="Y101" s="16"/>
      <c r="Z101" s="21">
        <f>IF(T101=0,0,X101/T101)</f>
        <v>0.55944951974260371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128</v>
      </c>
      <c r="C103" s="10"/>
      <c r="D103" s="4">
        <v>25036</v>
      </c>
      <c r="E103" s="4"/>
      <c r="F103" s="12">
        <f>IF(D$12=0,0,D103/D$12)</f>
        <v>0.27273299683627111</v>
      </c>
      <c r="G103" s="4"/>
      <c r="H103" s="4">
        <v>101494</v>
      </c>
      <c r="I103" s="4"/>
      <c r="J103" s="12">
        <f>IF(H$12=0,0,H103/H$12)</f>
        <v>0.20249431885064215</v>
      </c>
      <c r="K103" s="4"/>
      <c r="L103" s="4">
        <f>+D103-H103</f>
        <v>-76458</v>
      </c>
      <c r="M103" s="4"/>
      <c r="N103" s="12">
        <f>IF(H103=0,0,L103/H103)</f>
        <v>-0.75332531972333339</v>
      </c>
      <c r="O103" s="10"/>
      <c r="P103" s="4">
        <v>175423.06</v>
      </c>
      <c r="Q103" s="4"/>
      <c r="R103" s="12">
        <f>IF(P$12=0,0,P103/P$12)</f>
        <v>0.2060915157954549</v>
      </c>
      <c r="S103" s="4"/>
      <c r="T103" s="4">
        <v>556428</v>
      </c>
      <c r="U103" s="4"/>
      <c r="V103" s="12">
        <f>IF(T$12=0,0,T103/T$12)</f>
        <v>0.17683962432051745</v>
      </c>
      <c r="W103" s="4"/>
      <c r="X103" s="4">
        <f>+P103-T103</f>
        <v>-381004.94</v>
      </c>
      <c r="Y103" s="4"/>
      <c r="Z103" s="12">
        <f>IF(T103=0,0,X103/T103)</f>
        <v>-0.68473358637595516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126</v>
      </c>
      <c r="C105" s="29"/>
      <c r="D105" s="34">
        <f>+D101-D103</f>
        <v>-200995.91999999995</v>
      </c>
      <c r="E105" s="14"/>
      <c r="F105" s="30">
        <f>IF(D$12=0,0,D105/D$12)</f>
        <v>-2.1895757953931696</v>
      </c>
      <c r="G105" s="14"/>
      <c r="H105" s="34">
        <f>+H101-H103</f>
        <v>-101208.30082537612</v>
      </c>
      <c r="I105" s="14"/>
      <c r="J105" s="30">
        <f>IF(H$12=0,0,H105/H$12)</f>
        <v>-0.20192431018252724</v>
      </c>
      <c r="K105" s="16"/>
      <c r="L105" s="34">
        <f>D105-H105</f>
        <v>-99787.619174623833</v>
      </c>
      <c r="M105" s="16"/>
      <c r="N105" s="30">
        <f>IF(H105=0,0,L105/H105)</f>
        <v>0.98596279515448515</v>
      </c>
      <c r="O105" s="28"/>
      <c r="P105" s="34">
        <f>+P101-P103</f>
        <v>-1714582.0200000005</v>
      </c>
      <c r="Q105" s="14"/>
      <c r="R105" s="30">
        <f>IF(P$12=0,0,P105/P$12)</f>
        <v>-2.0143349879852348</v>
      </c>
      <c r="S105" s="14"/>
      <c r="T105" s="34">
        <f>+T101-T103</f>
        <v>-1543416.6395899802</v>
      </c>
      <c r="U105" s="14"/>
      <c r="V105" s="30">
        <f>IF(T$12=0,0,T105/T$12)</f>
        <v>-0.4905166862830907</v>
      </c>
      <c r="W105" s="16"/>
      <c r="X105" s="34">
        <f>P105-T105</f>
        <v>-171165.38041002024</v>
      </c>
      <c r="Y105" s="16"/>
      <c r="Z105" s="30">
        <f>IF(T105=0,0,X105/T105)</f>
        <v>0.11090030781026927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294</v>
      </c>
      <c r="C108" s="29"/>
      <c r="D108" s="31">
        <f>SUM(D105:D107)</f>
        <v>-200995.91999999995</v>
      </c>
      <c r="E108" s="14"/>
      <c r="F108" s="35">
        <f>IF(D$12=0,0,D108/D$12)</f>
        <v>-2.1895757953931696</v>
      </c>
      <c r="G108" s="14"/>
      <c r="H108" s="31">
        <f>SUM(H105:H107)</f>
        <v>-101208.30082537612</v>
      </c>
      <c r="I108" s="14"/>
      <c r="J108" s="35">
        <f>IF(H$12=0,0,H108/H$12)</f>
        <v>-0.20192431018252724</v>
      </c>
      <c r="K108" s="16"/>
      <c r="L108" s="31">
        <f>+D108-H108</f>
        <v>-99787.619174623833</v>
      </c>
      <c r="M108" s="16"/>
      <c r="N108" s="35">
        <f>IF(H108=0,0,L108/H108)</f>
        <v>0.98596279515448515</v>
      </c>
      <c r="O108" s="28"/>
      <c r="P108" s="31">
        <f>SUM(P105:P107)</f>
        <v>-1714582.0200000005</v>
      </c>
      <c r="Q108" s="14"/>
      <c r="R108" s="35">
        <f>IF(P$12=0,0,P108/P$12)</f>
        <v>-2.0143349879852348</v>
      </c>
      <c r="S108" s="14"/>
      <c r="T108" s="31">
        <f>SUM(T105:T107)</f>
        <v>-1543416.6395899802</v>
      </c>
      <c r="U108" s="14"/>
      <c r="V108" s="35">
        <f>IF(T$12=0,0,T108/T$12)</f>
        <v>-0.4905166862830907</v>
      </c>
      <c r="W108" s="16"/>
      <c r="X108" s="31">
        <f>+P108-T108</f>
        <v>-171165.38041002024</v>
      </c>
      <c r="Y108" s="16"/>
      <c r="Z108" s="35">
        <f>IF(T108=0,0,X108/T108)</f>
        <v>0.11090030781026927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6">
        <v>44295.961764930558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3" t="s">
        <v>56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4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17485.55</v>
      </c>
      <c r="E18" s="22"/>
      <c r="F18" s="32">
        <f t="shared" ref="F18:F28" si="0">IF(D$12=0,0,D18/D$12)</f>
        <v>0</v>
      </c>
      <c r="G18" s="22"/>
      <c r="H18" s="22">
        <f>SUM(OSRRefH22x_0)</f>
        <v>13801.532740000001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3684.0172599999987</v>
      </c>
      <c r="M18" s="4"/>
      <c r="N18" s="32">
        <f t="shared" ref="N18:N28" si="3">IF(H18=0,0,L18/H18)</f>
        <v>0.26692812525980347</v>
      </c>
      <c r="O18" s="10"/>
      <c r="P18" s="22">
        <f>SUM(OSRRefP22x_0)</f>
        <v>153277.29</v>
      </c>
      <c r="Q18" s="22"/>
      <c r="R18" s="32">
        <f t="shared" ref="R18:R28" si="4">IF(P$12=0,0,P18/P$12)</f>
        <v>0</v>
      </c>
      <c r="S18" s="22"/>
      <c r="T18" s="22">
        <f>SUM(OSRRefT22x_0)</f>
        <v>172574.94421500002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-19297.654215000017</v>
      </c>
      <c r="Y18" s="4"/>
      <c r="Z18" s="32">
        <f t="shared" ref="Z18:Z28" si="7">IF(T18=0,0,X18/T18)</f>
        <v>-0.11182187717214795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4899.78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608.34725999999955</v>
      </c>
      <c r="M19" s="1"/>
      <c r="N19" s="5">
        <f t="shared" si="3"/>
        <v>0.14175854472322441</v>
      </c>
      <c r="O19" s="13"/>
      <c r="P19" s="1">
        <f>SUM(OSRRefP22_0x_0)</f>
        <v>51680.310000000005</v>
      </c>
      <c r="Q19" s="1"/>
      <c r="R19" s="5">
        <f t="shared" si="4"/>
        <v>0</v>
      </c>
      <c r="S19" s="1"/>
      <c r="T19" s="1">
        <f>SUM(OSRRefT22_0x_0)</f>
        <v>40356.469215000005</v>
      </c>
      <c r="U19" s="1"/>
      <c r="V19" s="5">
        <f t="shared" si="5"/>
        <v>0</v>
      </c>
      <c r="W19" s="1"/>
      <c r="X19" s="1">
        <f t="shared" si="6"/>
        <v>11323.840785</v>
      </c>
      <c r="Y19" s="1"/>
      <c r="Z19" s="5">
        <f t="shared" si="7"/>
        <v>0.28059542881890837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685.55574000000001</v>
      </c>
      <c r="I20" s="2"/>
      <c r="J20" s="6">
        <f t="shared" si="1"/>
        <v>0</v>
      </c>
      <c r="K20" s="2"/>
      <c r="L20" s="7">
        <f t="shared" si="2"/>
        <v>5.5942599999999629</v>
      </c>
      <c r="M20" s="2"/>
      <c r="N20" s="6">
        <f t="shared" si="3"/>
        <v>8.16018256954564E-3</v>
      </c>
      <c r="O20" s="11"/>
      <c r="P20" s="7">
        <v>6745.95</v>
      </c>
      <c r="Q20" s="2"/>
      <c r="R20" s="6">
        <f t="shared" si="4"/>
        <v>0</v>
      </c>
      <c r="S20" s="2"/>
      <c r="T20" s="7">
        <v>6684.1684649999997</v>
      </c>
      <c r="U20" s="2"/>
      <c r="V20" s="6">
        <f t="shared" si="5"/>
        <v>0</v>
      </c>
      <c r="W20" s="2"/>
      <c r="X20" s="7">
        <f t="shared" si="6"/>
        <v>61.781535000000076</v>
      </c>
      <c r="Y20" s="2"/>
      <c r="Z20" s="6">
        <f t="shared" si="7"/>
        <v>9.2429649736543683E-3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387.58</v>
      </c>
      <c r="E21" s="2"/>
      <c r="F21" s="6">
        <f t="shared" si="0"/>
        <v>0</v>
      </c>
      <c r="G21" s="2"/>
      <c r="H21" s="7">
        <v>384.29820000000001</v>
      </c>
      <c r="I21" s="2"/>
      <c r="J21" s="6">
        <f t="shared" si="1"/>
        <v>0</v>
      </c>
      <c r="K21" s="2"/>
      <c r="L21" s="7">
        <f t="shared" si="2"/>
        <v>3.2817999999999756</v>
      </c>
      <c r="M21" s="2"/>
      <c r="N21" s="6">
        <f t="shared" si="3"/>
        <v>8.5397225383828899E-3</v>
      </c>
      <c r="O21" s="11"/>
      <c r="P21" s="7">
        <v>3773.51</v>
      </c>
      <c r="Q21" s="2"/>
      <c r="R21" s="6">
        <f t="shared" si="4"/>
        <v>0</v>
      </c>
      <c r="S21" s="2"/>
      <c r="T21" s="7">
        <v>3746.9074500000002</v>
      </c>
      <c r="U21" s="2"/>
      <c r="V21" s="6">
        <f t="shared" si="5"/>
        <v>0</v>
      </c>
      <c r="W21" s="2"/>
      <c r="X21" s="7">
        <f t="shared" si="6"/>
        <v>26.602550000000065</v>
      </c>
      <c r="Y21" s="2"/>
      <c r="Z21" s="6">
        <f t="shared" si="7"/>
        <v>7.0998684528490461E-3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2691.73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711.73</v>
      </c>
      <c r="M22" s="2"/>
      <c r="N22" s="6">
        <f t="shared" si="3"/>
        <v>0.35945959595959598</v>
      </c>
      <c r="O22" s="11"/>
      <c r="P22" s="7">
        <v>24502.59</v>
      </c>
      <c r="Q22" s="2"/>
      <c r="R22" s="6">
        <f t="shared" si="4"/>
        <v>0</v>
      </c>
      <c r="S22" s="2"/>
      <c r="T22" s="7">
        <v>17820</v>
      </c>
      <c r="U22" s="2"/>
      <c r="V22" s="6">
        <f t="shared" si="5"/>
        <v>0</v>
      </c>
      <c r="W22" s="2"/>
      <c r="X22" s="7">
        <f t="shared" si="6"/>
        <v>6682.59</v>
      </c>
      <c r="Y22" s="2"/>
      <c r="Z22" s="6">
        <f t="shared" si="7"/>
        <v>0.37500505050505051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6">
        <f t="shared" si="0"/>
        <v>0</v>
      </c>
      <c r="G23" s="2"/>
      <c r="H23" s="7">
        <v>23.290800000000001</v>
      </c>
      <c r="I23" s="2"/>
      <c r="J23" s="6">
        <f t="shared" si="1"/>
        <v>0</v>
      </c>
      <c r="K23" s="2"/>
      <c r="L23" s="7">
        <f t="shared" si="2"/>
        <v>0.1991999999999976</v>
      </c>
      <c r="M23" s="2"/>
      <c r="N23" s="6">
        <f t="shared" si="3"/>
        <v>8.5527332680714104E-3</v>
      </c>
      <c r="O23" s="11"/>
      <c r="P23" s="7">
        <v>228.68</v>
      </c>
      <c r="Q23" s="2"/>
      <c r="R23" s="6">
        <f t="shared" si="4"/>
        <v>0</v>
      </c>
      <c r="S23" s="2"/>
      <c r="T23" s="7">
        <v>227.08529999999999</v>
      </c>
      <c r="U23" s="2"/>
      <c r="V23" s="6">
        <f t="shared" si="5"/>
        <v>0</v>
      </c>
      <c r="W23" s="2"/>
      <c r="X23" s="7">
        <f t="shared" si="6"/>
        <v>1.5947000000000173</v>
      </c>
      <c r="Y23" s="2"/>
      <c r="Z23" s="6">
        <f t="shared" si="7"/>
        <v>7.0224712916248534E-3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770.38800000000003</v>
      </c>
      <c r="I24" s="2"/>
      <c r="J24" s="6">
        <f t="shared" si="1"/>
        <v>0</v>
      </c>
      <c r="K24" s="2"/>
      <c r="L24" s="7">
        <f t="shared" si="2"/>
        <v>-77.817999999999984</v>
      </c>
      <c r="M24" s="2"/>
      <c r="N24" s="6">
        <f t="shared" si="3"/>
        <v>-0.10101143839208293</v>
      </c>
      <c r="O24" s="11"/>
      <c r="P24" s="7">
        <v>6925.71</v>
      </c>
      <c r="Q24" s="2"/>
      <c r="R24" s="6">
        <f t="shared" si="4"/>
        <v>0</v>
      </c>
      <c r="S24" s="2"/>
      <c r="T24" s="7">
        <v>7511.2830000000004</v>
      </c>
      <c r="U24" s="2"/>
      <c r="V24" s="6">
        <f t="shared" si="5"/>
        <v>0</v>
      </c>
      <c r="W24" s="2"/>
      <c r="X24" s="7">
        <f t="shared" si="6"/>
        <v>-585.57300000000032</v>
      </c>
      <c r="Y24" s="2"/>
      <c r="Z24" s="6">
        <f t="shared" si="7"/>
        <v>-7.795911830242587E-2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268.74</v>
      </c>
      <c r="I26" s="2"/>
      <c r="J26" s="6">
        <f t="shared" si="1"/>
        <v>0</v>
      </c>
      <c r="K26" s="2"/>
      <c r="L26" s="7">
        <f t="shared" si="2"/>
        <v>-268.74</v>
      </c>
      <c r="M26" s="2"/>
      <c r="N26" s="6">
        <f t="shared" si="3"/>
        <v>-1</v>
      </c>
      <c r="O26" s="11"/>
      <c r="P26" s="7">
        <v>5409.9</v>
      </c>
      <c r="Q26" s="2"/>
      <c r="R26" s="6">
        <f t="shared" si="4"/>
        <v>0</v>
      </c>
      <c r="S26" s="2"/>
      <c r="T26" s="7">
        <v>2620.2150000000001</v>
      </c>
      <c r="U26" s="2"/>
      <c r="V26" s="6">
        <f t="shared" si="5"/>
        <v>0</v>
      </c>
      <c r="W26" s="2"/>
      <c r="X26" s="7">
        <f t="shared" si="6"/>
        <v>2789.6849999999995</v>
      </c>
      <c r="Y26" s="2"/>
      <c r="Z26" s="6">
        <f t="shared" si="7"/>
        <v>1.0646778985693919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179.16</v>
      </c>
      <c r="I27" s="2"/>
      <c r="J27" s="6">
        <f t="shared" si="1"/>
        <v>0</v>
      </c>
      <c r="K27" s="2"/>
      <c r="L27" s="7">
        <f t="shared" si="2"/>
        <v>234.1</v>
      </c>
      <c r="M27" s="2"/>
      <c r="N27" s="6">
        <f t="shared" si="3"/>
        <v>1.3066532708193792</v>
      </c>
      <c r="O27" s="11"/>
      <c r="P27" s="7">
        <v>3925.97</v>
      </c>
      <c r="Q27" s="2"/>
      <c r="R27" s="6">
        <f t="shared" si="4"/>
        <v>0</v>
      </c>
      <c r="S27" s="2"/>
      <c r="T27" s="7">
        <v>1746.81</v>
      </c>
      <c r="U27" s="2"/>
      <c r="V27" s="6">
        <f t="shared" si="5"/>
        <v>0</v>
      </c>
      <c r="W27" s="2"/>
      <c r="X27" s="7">
        <f t="shared" si="6"/>
        <v>2179.16</v>
      </c>
      <c r="Y27" s="2"/>
      <c r="Z27" s="6">
        <f t="shared" si="7"/>
        <v>1.2475083151573438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9034.5400000000009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524.44000000000051</v>
      </c>
      <c r="M29" s="1"/>
      <c r="N29" s="5">
        <f t="shared" ref="N29:N39" si="11">IF(H29=0,0,L29/H29)</f>
        <v>6.1625597819062114E-2</v>
      </c>
      <c r="O29" s="13"/>
      <c r="P29" s="1">
        <f>SUM(OSRRefP22_1x_0)</f>
        <v>82204.899999999994</v>
      </c>
      <c r="Q29" s="1"/>
      <c r="R29" s="5">
        <f t="shared" ref="R29:R39" si="12">IF(P$12=0,0,P29/P$12)</f>
        <v>0</v>
      </c>
      <c r="S29" s="1"/>
      <c r="T29" s="1">
        <f>SUM(OSRRefT22_1x_0)</f>
        <v>82973.475000000006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-768.57500000001164</v>
      </c>
      <c r="Y29" s="1"/>
      <c r="Z29" s="5">
        <f t="shared" ref="Z29:Z39" si="15">IF(T29=0,0,X29/T29)</f>
        <v>-9.2628999809880389E-3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9034.5400000000009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9034.5400000000009</v>
      </c>
      <c r="M30" s="2"/>
      <c r="N30" s="6">
        <f t="shared" si="11"/>
        <v>0</v>
      </c>
      <c r="O30" s="11"/>
      <c r="P30" s="7">
        <v>82204.899999999994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82204.899999999994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8510.1</v>
      </c>
      <c r="I31" s="2"/>
      <c r="J31" s="6">
        <f t="shared" si="9"/>
        <v>0</v>
      </c>
      <c r="K31" s="2"/>
      <c r="L31" s="7">
        <f t="shared" si="10"/>
        <v>-8510.1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82973.475000000006</v>
      </c>
      <c r="U31" s="2"/>
      <c r="V31" s="6">
        <f t="shared" si="13"/>
        <v>0</v>
      </c>
      <c r="W31" s="2"/>
      <c r="X31" s="7">
        <f t="shared" si="14"/>
        <v>-82973.475000000006</v>
      </c>
      <c r="Y31" s="2"/>
      <c r="Z31" s="6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3"/>
      <c r="P42" s="1">
        <f>SUM(OSRRefP22_3x_0)</f>
        <v>14000</v>
      </c>
      <c r="Q42" s="1"/>
      <c r="R42" s="5">
        <f t="shared" si="20"/>
        <v>0</v>
      </c>
      <c r="S42" s="1"/>
      <c r="T42" s="1">
        <f>SUM(OSRRefT22_3x_0)</f>
        <v>40245</v>
      </c>
      <c r="U42" s="1"/>
      <c r="V42" s="5">
        <f t="shared" si="21"/>
        <v>0</v>
      </c>
      <c r="W42" s="1"/>
      <c r="X42" s="1">
        <f t="shared" si="22"/>
        <v>-26245</v>
      </c>
      <c r="Y42" s="1"/>
      <c r="Z42" s="5">
        <f t="shared" si="23"/>
        <v>-0.65213069946577218</v>
      </c>
    </row>
    <row r="43" spans="1:26" s="24" customFormat="1" hidden="1" outlineLevel="2" x14ac:dyDescent="0.25">
      <c r="A43" s="26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3500</v>
      </c>
      <c r="M43" s="2"/>
      <c r="N43" s="6">
        <f t="shared" si="19"/>
        <v>0</v>
      </c>
      <c r="O43" s="11"/>
      <c r="P43" s="7">
        <v>14000</v>
      </c>
      <c r="Q43" s="2"/>
      <c r="R43" s="6">
        <f t="shared" si="20"/>
        <v>0</v>
      </c>
      <c r="S43" s="2"/>
      <c r="T43" s="7">
        <v>40245</v>
      </c>
      <c r="U43" s="2"/>
      <c r="V43" s="6">
        <f t="shared" si="21"/>
        <v>0</v>
      </c>
      <c r="W43" s="2"/>
      <c r="X43" s="7">
        <f t="shared" si="22"/>
        <v>-26245</v>
      </c>
      <c r="Y43" s="2"/>
      <c r="Z43" s="6">
        <f t="shared" si="23"/>
        <v>-0.65213069946577218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3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3600</v>
      </c>
      <c r="U44" s="1"/>
      <c r="V44" s="5">
        <f t="shared" si="21"/>
        <v>0</v>
      </c>
      <c r="W44" s="1"/>
      <c r="X44" s="1">
        <f t="shared" si="22"/>
        <v>1339.1999999999998</v>
      </c>
      <c r="Y44" s="1"/>
      <c r="Z44" s="5">
        <f t="shared" si="23"/>
        <v>0.37199999999999994</v>
      </c>
    </row>
    <row r="45" spans="1:26" s="24" customFormat="1" hidden="1" outlineLevel="2" x14ac:dyDescent="0.25">
      <c r="A45" s="26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900</v>
      </c>
      <c r="U45" s="2"/>
      <c r="V45" s="6">
        <f t="shared" si="21"/>
        <v>0</v>
      </c>
      <c r="W45" s="2"/>
      <c r="X45" s="7">
        <f t="shared" si="22"/>
        <v>-900</v>
      </c>
      <c r="Y45" s="2"/>
      <c r="Z45" s="6">
        <f t="shared" si="23"/>
        <v>-1</v>
      </c>
    </row>
    <row r="46" spans="1:26" s="24" customFormat="1" hidden="1" outlineLevel="2" x14ac:dyDescent="0.25">
      <c r="A46" s="26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1800</v>
      </c>
      <c r="U46" s="2"/>
      <c r="V46" s="6">
        <f t="shared" si="21"/>
        <v>0</v>
      </c>
      <c r="W46" s="2"/>
      <c r="X46" s="7">
        <f t="shared" si="22"/>
        <v>3139.2</v>
      </c>
      <c r="Y46" s="2"/>
      <c r="Z46" s="6">
        <f t="shared" si="23"/>
        <v>1.744</v>
      </c>
    </row>
    <row r="47" spans="1:26" s="24" customFormat="1" hidden="1" outlineLevel="2" x14ac:dyDescent="0.25">
      <c r="A47" s="26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900</v>
      </c>
      <c r="U47" s="2"/>
      <c r="V47" s="6">
        <f t="shared" si="21"/>
        <v>0</v>
      </c>
      <c r="W47" s="2"/>
      <c r="X47" s="7">
        <f t="shared" si="22"/>
        <v>-900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","Telephone/Data Lines                              ")</f>
        <v xml:space="preserve">     Telephone/Data Lines                              </v>
      </c>
      <c r="C48" s="13"/>
      <c r="D48" s="1">
        <f>SUM(OSRRefD22_5x_0)</f>
        <v>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-100</v>
      </c>
      <c r="M48" s="1"/>
      <c r="N48" s="5">
        <f t="shared" ref="N48:N50" si="27">IF(H48=0,0,L48/H48)</f>
        <v>-1</v>
      </c>
      <c r="O48" s="13"/>
      <c r="P48" s="1">
        <f>SUM(OSRRefP22_5x_0)</f>
        <v>400</v>
      </c>
      <c r="Q48" s="1"/>
      <c r="R48" s="5">
        <f t="shared" ref="R48:R50" si="28">IF(P$12=0,0,P48/P$12)</f>
        <v>0</v>
      </c>
      <c r="S48" s="1"/>
      <c r="T48" s="1">
        <f>SUM(OSRRefT22_5x_0)</f>
        <v>900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-500</v>
      </c>
      <c r="Y48" s="1"/>
      <c r="Z48" s="5">
        <f t="shared" ref="Z48:Z50" si="31">IF(T48=0,0,X48/T48)</f>
        <v>-0.55555555555555558</v>
      </c>
    </row>
    <row r="49" spans="1:26" s="24" customFormat="1" hidden="1" outlineLevel="2" x14ac:dyDescent="0.25">
      <c r="A49" s="26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450</v>
      </c>
      <c r="U49" s="2"/>
      <c r="V49" s="6">
        <f t="shared" si="29"/>
        <v>0</v>
      </c>
      <c r="W49" s="2"/>
      <c r="X49" s="7">
        <f t="shared" si="30"/>
        <v>-450</v>
      </c>
      <c r="Y49" s="2"/>
      <c r="Z49" s="6">
        <f t="shared" si="31"/>
        <v>-1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7">
        <v>0</v>
      </c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-50</v>
      </c>
      <c r="M50" s="2"/>
      <c r="N50" s="6">
        <f t="shared" si="27"/>
        <v>-1</v>
      </c>
      <c r="O50" s="11"/>
      <c r="P50" s="7">
        <v>400</v>
      </c>
      <c r="Q50" s="2"/>
      <c r="R50" s="6">
        <f t="shared" si="28"/>
        <v>0</v>
      </c>
      <c r="S50" s="2"/>
      <c r="T50" s="7">
        <v>450</v>
      </c>
      <c r="U50" s="2"/>
      <c r="V50" s="6">
        <f t="shared" si="29"/>
        <v>0</v>
      </c>
      <c r="W50" s="2"/>
      <c r="X50" s="7">
        <f t="shared" si="30"/>
        <v>-50</v>
      </c>
      <c r="Y50" s="2"/>
      <c r="Z50" s="6">
        <f t="shared" si="31"/>
        <v>-0.1111111111111111</v>
      </c>
    </row>
    <row r="51" spans="1:26" s="25" customFormat="1" outlineLevel="1" collapsed="1" x14ac:dyDescent="0.25">
      <c r="A51" s="27"/>
      <c r="B51" s="13" t="str">
        <f>CONCATENATE("     ","Training                                          ")</f>
        <v xml:space="preserve">     Training                                          </v>
      </c>
      <c r="C51" s="13"/>
      <c r="D51" s="1">
        <f>SUM(OSRRefD22_6x_0)</f>
        <v>51.23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-148.77000000000001</v>
      </c>
      <c r="M51" s="1"/>
      <c r="N51" s="5">
        <f t="shared" ref="N51:N54" si="35">IF(H51=0,0,L51/H51)</f>
        <v>-0.74385000000000001</v>
      </c>
      <c r="O51" s="13"/>
      <c r="P51" s="1">
        <f>SUM(OSRRefP22_6x_0)</f>
        <v>51.23</v>
      </c>
      <c r="Q51" s="1"/>
      <c r="R51" s="5">
        <f t="shared" ref="R51:R54" si="36">IF(P$12=0,0,P51/P$12)</f>
        <v>0</v>
      </c>
      <c r="S51" s="1"/>
      <c r="T51" s="1">
        <f>SUM(OSRRefT22_6x_0)</f>
        <v>1800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-1748.77</v>
      </c>
      <c r="Y51" s="1"/>
      <c r="Z51" s="5">
        <f t="shared" ref="Z51:Z54" si="39">IF(T51=0,0,X51/T51)</f>
        <v>-0.97153888888888884</v>
      </c>
    </row>
    <row r="52" spans="1:26" s="24" customFormat="1" hidden="1" outlineLevel="2" x14ac:dyDescent="0.25">
      <c r="A52" s="26"/>
      <c r="B52" s="11" t="str">
        <f>CONCATENATE("          ", "6376", " - ", "TRAINING")</f>
        <v xml:space="preserve">          6376 - TRAINING</v>
      </c>
      <c r="C52" s="11"/>
      <c r="D52" s="7">
        <v>51.23</v>
      </c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-148.77000000000001</v>
      </c>
      <c r="M52" s="2"/>
      <c r="N52" s="6">
        <f t="shared" si="35"/>
        <v>-0.74385000000000001</v>
      </c>
      <c r="O52" s="11"/>
      <c r="P52" s="7">
        <v>51.23</v>
      </c>
      <c r="Q52" s="2"/>
      <c r="R52" s="6">
        <f t="shared" si="36"/>
        <v>0</v>
      </c>
      <c r="S52" s="2"/>
      <c r="T52" s="7">
        <v>1800</v>
      </c>
      <c r="U52" s="2"/>
      <c r="V52" s="6">
        <f t="shared" si="37"/>
        <v>0</v>
      </c>
      <c r="W52" s="2"/>
      <c r="X52" s="7">
        <f t="shared" si="38"/>
        <v>-1748.77</v>
      </c>
      <c r="Y52" s="2"/>
      <c r="Z52" s="6">
        <f t="shared" si="39"/>
        <v>-0.97153888888888884</v>
      </c>
    </row>
    <row r="53" spans="1:26" s="25" customFormat="1" outlineLevel="1" collapsed="1" x14ac:dyDescent="0.25">
      <c r="A53" s="27"/>
      <c r="B53" s="13" t="str">
        <f>CONCATENATE("     ","Travel                                            ")</f>
        <v xml:space="preserve">     Travel                                            </v>
      </c>
      <c r="C53" s="13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3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2700</v>
      </c>
      <c r="U53" s="1"/>
      <c r="V53" s="5">
        <f t="shared" si="37"/>
        <v>0</v>
      </c>
      <c r="W53" s="1"/>
      <c r="X53" s="1">
        <f t="shared" si="38"/>
        <v>-2700</v>
      </c>
      <c r="Y53" s="1"/>
      <c r="Z53" s="5">
        <f t="shared" si="39"/>
        <v>-1</v>
      </c>
    </row>
    <row r="54" spans="1:26" s="24" customFormat="1" hidden="1" outlineLevel="2" x14ac:dyDescent="0.25">
      <c r="A54" s="26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2700</v>
      </c>
      <c r="U54" s="2"/>
      <c r="V54" s="6">
        <f t="shared" si="37"/>
        <v>0</v>
      </c>
      <c r="W54" s="2"/>
      <c r="X54" s="7">
        <f t="shared" si="38"/>
        <v>-2700</v>
      </c>
      <c r="Y54" s="2"/>
      <c r="Z54" s="6">
        <f t="shared" si="39"/>
        <v>-1</v>
      </c>
    </row>
    <row r="55" spans="1:26" s="59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277</v>
      </c>
      <c r="C58" s="29"/>
      <c r="D58" s="20">
        <f>+D16-D18+D56</f>
        <v>-17485.55</v>
      </c>
      <c r="E58" s="14"/>
      <c r="F58" s="21">
        <f>IF(D$12=0,0,D58/D$12)</f>
        <v>0</v>
      </c>
      <c r="G58" s="14"/>
      <c r="H58" s="20">
        <f>+H16-H18+H56</f>
        <v>-13801.532740000001</v>
      </c>
      <c r="I58" s="14"/>
      <c r="J58" s="21">
        <f>IF(H$12=0,0,H58/H$12)</f>
        <v>0</v>
      </c>
      <c r="K58" s="16"/>
      <c r="L58" s="20">
        <f>+D58-H58</f>
        <v>-3684.0172599999987</v>
      </c>
      <c r="M58" s="16"/>
      <c r="N58" s="21">
        <f>IF(H58=0,0,L58/H58)</f>
        <v>0.26692812525980347</v>
      </c>
      <c r="O58" s="28"/>
      <c r="P58" s="20">
        <f>+P16-P18+P56</f>
        <v>-153277.29</v>
      </c>
      <c r="Q58" s="14"/>
      <c r="R58" s="21">
        <f>IF(P$12=0,0,P58/P$12)</f>
        <v>0</v>
      </c>
      <c r="S58" s="14"/>
      <c r="T58" s="20">
        <f>+T16-T18+T56</f>
        <v>-172574.94421500002</v>
      </c>
      <c r="U58" s="14"/>
      <c r="V58" s="21">
        <f>IF(T$12=0,0,T58/T$12)</f>
        <v>0</v>
      </c>
      <c r="W58" s="16"/>
      <c r="X58" s="20">
        <f>+P58-T58</f>
        <v>19297.654215000017</v>
      </c>
      <c r="Y58" s="16"/>
      <c r="Z58" s="21">
        <f>IF(T58=0,0,X58/T58)</f>
        <v>-0.11182187717214795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126</v>
      </c>
      <c r="C62" s="29"/>
      <c r="D62" s="34">
        <f>+D58-D60</f>
        <v>-17485.55</v>
      </c>
      <c r="E62" s="14"/>
      <c r="F62" s="30">
        <f>IF(D$12=0,0,D62/D$12)</f>
        <v>0</v>
      </c>
      <c r="G62" s="14"/>
      <c r="H62" s="34">
        <f>+H58-H60</f>
        <v>-13801.532740000001</v>
      </c>
      <c r="I62" s="14"/>
      <c r="J62" s="30">
        <f>IF(H$12=0,0,H62/H$12)</f>
        <v>0</v>
      </c>
      <c r="K62" s="16"/>
      <c r="L62" s="34">
        <f>D62-H62</f>
        <v>-3684.0172599999987</v>
      </c>
      <c r="M62" s="16"/>
      <c r="N62" s="30">
        <f>IF(H62=0,0,L62/H62)</f>
        <v>0.26692812525980347</v>
      </c>
      <c r="O62" s="28"/>
      <c r="P62" s="34">
        <f>+P58-P60</f>
        <v>-153277.29</v>
      </c>
      <c r="Q62" s="14"/>
      <c r="R62" s="30">
        <f>IF(P$12=0,0,P62/P$12)</f>
        <v>0</v>
      </c>
      <c r="S62" s="14"/>
      <c r="T62" s="34">
        <f>+T58-T60</f>
        <v>-172574.94421500002</v>
      </c>
      <c r="U62" s="14"/>
      <c r="V62" s="30">
        <f>IF(T$12=0,0,T62/T$12)</f>
        <v>0</v>
      </c>
      <c r="W62" s="16"/>
      <c r="X62" s="34">
        <f>P62-T62</f>
        <v>19297.654215000017</v>
      </c>
      <c r="Y62" s="16"/>
      <c r="Z62" s="30">
        <f>IF(T62=0,0,X62/T62)</f>
        <v>-0.11182187717214795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294</v>
      </c>
      <c r="C65" s="29"/>
      <c r="D65" s="31">
        <f>SUM(D62:D64)</f>
        <v>-17485.55</v>
      </c>
      <c r="E65" s="14"/>
      <c r="F65" s="35">
        <f>IF(D$12=0,0,D65/D$12)</f>
        <v>0</v>
      </c>
      <c r="G65" s="14"/>
      <c r="H65" s="31">
        <f>SUM(H62:H64)</f>
        <v>-13801.532740000001</v>
      </c>
      <c r="I65" s="14"/>
      <c r="J65" s="35">
        <f>IF(H$12=0,0,H65/H$12)</f>
        <v>0</v>
      </c>
      <c r="K65" s="16"/>
      <c r="L65" s="31">
        <f>+D65-H65</f>
        <v>-3684.0172599999987</v>
      </c>
      <c r="M65" s="16"/>
      <c r="N65" s="35">
        <f>IF(H65=0,0,L65/H65)</f>
        <v>0.26692812525980347</v>
      </c>
      <c r="O65" s="28"/>
      <c r="P65" s="31">
        <f>SUM(P62:P64)</f>
        <v>-153277.29</v>
      </c>
      <c r="Q65" s="14"/>
      <c r="R65" s="35">
        <f>IF(P$12=0,0,P65/P$12)</f>
        <v>0</v>
      </c>
      <c r="S65" s="14"/>
      <c r="T65" s="31">
        <f>SUM(T62:T64)</f>
        <v>-172574.94421500002</v>
      </c>
      <c r="U65" s="14"/>
      <c r="V65" s="35">
        <f>IF(T$12=0,0,T65/T$12)</f>
        <v>0</v>
      </c>
      <c r="W65" s="16"/>
      <c r="X65" s="31">
        <f>+P65-T65</f>
        <v>19297.654215000017</v>
      </c>
      <c r="Y65" s="16"/>
      <c r="Z65" s="35">
        <f>IF(T65=0,0,X65/T65)</f>
        <v>-0.11182187717214795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6">
        <v>44295.961797766206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3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4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229554</v>
      </c>
      <c r="I12" s="4"/>
      <c r="J12" s="12"/>
      <c r="K12" s="4"/>
      <c r="L12" s="4">
        <f t="shared" ref="L12:L16" si="0">+D12-H12</f>
        <v>-229554</v>
      </c>
      <c r="M12" s="4"/>
      <c r="N12" s="12">
        <f t="shared" ref="N12:N16" si="1">IF(H12=0,0,L12/H12)</f>
        <v>-1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1345708</v>
      </c>
      <c r="U12" s="4"/>
      <c r="V12" s="12"/>
      <c r="W12" s="4"/>
      <c r="X12" s="4">
        <f t="shared" ref="X12:X16" si="2">+P12-T12</f>
        <v>-1322066.08</v>
      </c>
      <c r="Y12" s="4"/>
      <c r="Z12" s="12">
        <f t="shared" ref="Z12:Z16" si="3">IF(T12=0,0,X12/T12)</f>
        <v>-0.98243161220710595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--217.65</f>
        <v>217.65</v>
      </c>
      <c r="Q13" s="2"/>
      <c r="R13" s="19"/>
      <c r="S13" s="2"/>
      <c r="T13" s="2"/>
      <c r="U13" s="2"/>
      <c r="V13" s="19"/>
      <c r="W13" s="2"/>
      <c r="X13" s="2">
        <f t="shared" si="2"/>
        <v>217.65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229554</v>
      </c>
      <c r="I14" s="2"/>
      <c r="J14" s="19"/>
      <c r="K14" s="2"/>
      <c r="L14" s="2">
        <f t="shared" si="0"/>
        <v>-229554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1345708</v>
      </c>
      <c r="U14" s="2"/>
      <c r="V14" s="19"/>
      <c r="W14" s="2"/>
      <c r="X14" s="2">
        <f t="shared" si="2"/>
        <v>-1345708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--16096</f>
        <v>16096</v>
      </c>
      <c r="Q15" s="2"/>
      <c r="R15" s="19"/>
      <c r="S15" s="2"/>
      <c r="T15" s="2"/>
      <c r="U15" s="2"/>
      <c r="V15" s="19"/>
      <c r="W15" s="2"/>
      <c r="X15" s="2">
        <f t="shared" si="2"/>
        <v>16096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--7328.27</f>
        <v>7328.27</v>
      </c>
      <c r="Q16" s="2"/>
      <c r="R16" s="19"/>
      <c r="S16" s="2"/>
      <c r="T16" s="2"/>
      <c r="U16" s="2"/>
      <c r="V16" s="19"/>
      <c r="W16" s="2"/>
      <c r="X16" s="2">
        <f t="shared" si="2"/>
        <v>7328.27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257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57389</v>
      </c>
      <c r="I18" s="4"/>
      <c r="J18" s="12">
        <f t="shared" ref="J18:J21" si="6">IF(H$12=0,0,H18/H$12)</f>
        <v>0.2500021781367347</v>
      </c>
      <c r="K18" s="4"/>
      <c r="L18" s="4">
        <f t="shared" ref="L18:L21" si="7">+D18-H18</f>
        <v>-57389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1.0711025162084975</v>
      </c>
      <c r="S18" s="4"/>
      <c r="T18" s="4">
        <f>SUM(OSRRefT16x_0)</f>
        <v>366526</v>
      </c>
      <c r="U18" s="4"/>
      <c r="V18" s="12">
        <f t="shared" ref="V18:V21" si="10">IF(T$12=0,0,T18/T$12)</f>
        <v>0.27236666498229928</v>
      </c>
      <c r="W18" s="4"/>
      <c r="X18" s="4">
        <f t="shared" ref="X18:X21" si="11">+P18-T18</f>
        <v>-341203.08</v>
      </c>
      <c r="Y18" s="4"/>
      <c r="Z18" s="12">
        <f t="shared" ref="Z18:Z21" si="12">IF(T18=0,0,X18/T18)</f>
        <v>-0.93091098585093557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57389</v>
      </c>
      <c r="I19" s="2"/>
      <c r="J19" s="19">
        <f t="shared" si="6"/>
        <v>0.2500021781367347</v>
      </c>
      <c r="K19" s="2"/>
      <c r="L19" s="2">
        <f t="shared" si="7"/>
        <v>-57389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366526</v>
      </c>
      <c r="U19" s="2"/>
      <c r="V19" s="19">
        <f t="shared" si="10"/>
        <v>0.27236666498229928</v>
      </c>
      <c r="W19" s="2"/>
      <c r="X19" s="2">
        <f t="shared" si="11"/>
        <v>-366526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14410.92</v>
      </c>
      <c r="Q20" s="2"/>
      <c r="R20" s="19">
        <f t="shared" si="9"/>
        <v>0.60954947821496741</v>
      </c>
      <c r="S20" s="2"/>
      <c r="T20" s="2"/>
      <c r="U20" s="2"/>
      <c r="V20" s="19">
        <f t="shared" si="10"/>
        <v>0</v>
      </c>
      <c r="W20" s="2"/>
      <c r="X20" s="2">
        <f t="shared" si="11"/>
        <v>14410.92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10912</v>
      </c>
      <c r="Q21" s="2"/>
      <c r="R21" s="19">
        <f t="shared" si="9"/>
        <v>0.46155303799353015</v>
      </c>
      <c r="S21" s="2"/>
      <c r="T21" s="2"/>
      <c r="U21" s="2"/>
      <c r="V21" s="19">
        <f t="shared" si="10"/>
        <v>0</v>
      </c>
      <c r="W21" s="2"/>
      <c r="X21" s="2">
        <f t="shared" si="11"/>
        <v>10912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D12-D18</f>
        <v>0</v>
      </c>
      <c r="E23" s="14"/>
      <c r="F23" s="21">
        <f>IF(D$12=0,0,D23/D$12)</f>
        <v>0</v>
      </c>
      <c r="G23" s="14"/>
      <c r="H23" s="20">
        <f>H12-H18</f>
        <v>172165</v>
      </c>
      <c r="I23" s="14"/>
      <c r="J23" s="21">
        <f>IF(H$12=0,0,H23/H$12)</f>
        <v>0.74999782186326525</v>
      </c>
      <c r="K23" s="16"/>
      <c r="L23" s="20">
        <f>+D23-H23</f>
        <v>-172165</v>
      </c>
      <c r="M23" s="16"/>
      <c r="N23" s="21">
        <f>IF(H23=0,0,L23/H23)</f>
        <v>-1</v>
      </c>
      <c r="O23" s="28"/>
      <c r="P23" s="20">
        <f>P12-P18</f>
        <v>-1681</v>
      </c>
      <c r="Q23" s="14"/>
      <c r="R23" s="21">
        <f>IF(P$12=0,0,P23/P$12)</f>
        <v>-7.110251620849746E-2</v>
      </c>
      <c r="S23" s="14"/>
      <c r="T23" s="20">
        <f>T12-T18</f>
        <v>979182</v>
      </c>
      <c r="U23" s="14"/>
      <c r="V23" s="21">
        <f>IF(T$12=0,0,T23/T$12)</f>
        <v>0.72763333501770067</v>
      </c>
      <c r="W23" s="16"/>
      <c r="X23" s="20">
        <f>+P23-T23</f>
        <v>-980863</v>
      </c>
      <c r="Y23" s="16"/>
      <c r="Z23" s="21">
        <f>IF(T23=0,0,X23/T23)</f>
        <v>-1.0017167390740433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47743.71</v>
      </c>
      <c r="E25" s="22"/>
      <c r="F25" s="32">
        <f t="shared" ref="F25:F36" si="13">IF(D$12=0,0,D25/D$12)</f>
        <v>0</v>
      </c>
      <c r="G25" s="22"/>
      <c r="H25" s="22">
        <f>SUM(OSRRefH22x_0)</f>
        <v>134452.50423076923</v>
      </c>
      <c r="I25" s="22"/>
      <c r="J25" s="32">
        <f t="shared" ref="J25:J36" si="14">IF(H$12=0,0,H25/H$12)</f>
        <v>0.58571187707802619</v>
      </c>
      <c r="K25" s="4"/>
      <c r="L25" s="22">
        <f t="shared" ref="L25:L36" si="15">+D25-H25</f>
        <v>-86708.794230769243</v>
      </c>
      <c r="M25" s="4"/>
      <c r="N25" s="32">
        <f t="shared" ref="N25:N36" si="16">IF(H25=0,0,L25/H25)</f>
        <v>-0.64490278352826746</v>
      </c>
      <c r="O25" s="10"/>
      <c r="P25" s="22">
        <f>SUM(OSRRefP22x_0)</f>
        <v>462360.48999999993</v>
      </c>
      <c r="Q25" s="22"/>
      <c r="R25" s="32">
        <f t="shared" ref="R25:R36" si="17">IF(P$12=0,0,P25/P$12)</f>
        <v>19.556807991905902</v>
      </c>
      <c r="S25" s="22"/>
      <c r="T25" s="22">
        <f>SUM(OSRRefT22x_0)</f>
        <v>1145028.165945</v>
      </c>
      <c r="U25" s="22"/>
      <c r="V25" s="32">
        <f t="shared" ref="V25:V36" si="18">IF(T$12=0,0,T25/T$12)</f>
        <v>0.85087416136710192</v>
      </c>
      <c r="W25" s="4"/>
      <c r="X25" s="22">
        <f t="shared" ref="X25:X36" si="19">+P25-T25</f>
        <v>-682667.67594500002</v>
      </c>
      <c r="Y25" s="4"/>
      <c r="Z25" s="32">
        <f t="shared" ref="Z25:Z36" si="20">IF(T25=0,0,X25/T25)</f>
        <v>-0.59620164485787075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20741.009999999998</v>
      </c>
      <c r="E26" s="1"/>
      <c r="F26" s="5">
        <f t="shared" si="13"/>
        <v>0</v>
      </c>
      <c r="G26" s="1"/>
      <c r="H26" s="1">
        <f>SUM(OSRRefH22_0x_0)</f>
        <v>30778.882692307736</v>
      </c>
      <c r="I26" s="1"/>
      <c r="J26" s="5">
        <f t="shared" si="14"/>
        <v>0.13408123009099268</v>
      </c>
      <c r="K26" s="1"/>
      <c r="L26" s="1">
        <f t="shared" si="15"/>
        <v>-10037.872692307737</v>
      </c>
      <c r="M26" s="1"/>
      <c r="N26" s="5">
        <f t="shared" si="16"/>
        <v>-0.32612856004732116</v>
      </c>
      <c r="O26" s="13"/>
      <c r="P26" s="1">
        <f>SUM(OSRRefP22_0x_0)</f>
        <v>187671.32999999996</v>
      </c>
      <c r="Q26" s="1"/>
      <c r="R26" s="5">
        <f t="shared" si="17"/>
        <v>7.9380748264100367</v>
      </c>
      <c r="S26" s="1"/>
      <c r="T26" s="1">
        <f>SUM(OSRRefT22_0x_0)</f>
        <v>287267.15594500001</v>
      </c>
      <c r="U26" s="1"/>
      <c r="V26" s="5">
        <f t="shared" si="18"/>
        <v>0.21346915968768856</v>
      </c>
      <c r="W26" s="1"/>
      <c r="X26" s="1">
        <f t="shared" si="19"/>
        <v>-99595.825945000048</v>
      </c>
      <c r="Y26" s="1"/>
      <c r="Z26" s="5">
        <f t="shared" si="20"/>
        <v>-0.34670105469373119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1844.41</v>
      </c>
      <c r="E27" s="2"/>
      <c r="F27" s="6">
        <f t="shared" si="13"/>
        <v>0</v>
      </c>
      <c r="G27" s="2"/>
      <c r="H27" s="7">
        <v>3540.6898846153799</v>
      </c>
      <c r="I27" s="2"/>
      <c r="J27" s="6">
        <f t="shared" si="14"/>
        <v>1.5424213407805483E-2</v>
      </c>
      <c r="K27" s="2"/>
      <c r="L27" s="7">
        <f t="shared" si="15"/>
        <v>-1696.2798846153798</v>
      </c>
      <c r="M27" s="2"/>
      <c r="N27" s="6">
        <f t="shared" si="16"/>
        <v>-0.4790817439239371</v>
      </c>
      <c r="O27" s="11"/>
      <c r="P27" s="7">
        <v>17976.580000000002</v>
      </c>
      <c r="Q27" s="2"/>
      <c r="R27" s="6">
        <f t="shared" si="17"/>
        <v>0.76036887021020305</v>
      </c>
      <c r="S27" s="2"/>
      <c r="T27" s="7">
        <v>32518.477094999998</v>
      </c>
      <c r="U27" s="2"/>
      <c r="V27" s="6">
        <f t="shared" si="18"/>
        <v>2.4164586295838324E-2</v>
      </c>
      <c r="W27" s="2"/>
      <c r="X27" s="7">
        <f t="shared" si="19"/>
        <v>-14541.897094999997</v>
      </c>
      <c r="Y27" s="2"/>
      <c r="Z27" s="6">
        <f t="shared" si="20"/>
        <v>-0.44718874910768625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1032.1099999999999</v>
      </c>
      <c r="E28" s="2"/>
      <c r="F28" s="6">
        <f t="shared" si="13"/>
        <v>0</v>
      </c>
      <c r="G28" s="2"/>
      <c r="H28" s="7">
        <v>2531.0306999999998</v>
      </c>
      <c r="I28" s="2"/>
      <c r="J28" s="6">
        <f t="shared" si="14"/>
        <v>1.1025861888705924E-2</v>
      </c>
      <c r="K28" s="2"/>
      <c r="L28" s="7">
        <f t="shared" si="15"/>
        <v>-1498.9206999999999</v>
      </c>
      <c r="M28" s="2"/>
      <c r="N28" s="6">
        <f t="shared" si="16"/>
        <v>-0.59221751043952175</v>
      </c>
      <c r="O28" s="11"/>
      <c r="P28" s="7">
        <v>10196.27</v>
      </c>
      <c r="Q28" s="2"/>
      <c r="R28" s="6">
        <f t="shared" si="17"/>
        <v>0.43127927004236549</v>
      </c>
      <c r="S28" s="2"/>
      <c r="T28" s="7">
        <v>21804.555629999999</v>
      </c>
      <c r="U28" s="2"/>
      <c r="V28" s="6">
        <f t="shared" si="18"/>
        <v>1.6203036342207967E-2</v>
      </c>
      <c r="W28" s="2"/>
      <c r="X28" s="7">
        <f t="shared" si="19"/>
        <v>-11608.285629999998</v>
      </c>
      <c r="Y28" s="2"/>
      <c r="Z28" s="6">
        <f t="shared" si="20"/>
        <v>-0.53237891324089315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12552.45</v>
      </c>
      <c r="E29" s="2"/>
      <c r="F29" s="6">
        <f t="shared" si="13"/>
        <v>0</v>
      </c>
      <c r="G29" s="2"/>
      <c r="H29" s="7">
        <v>18733.8461538462</v>
      </c>
      <c r="I29" s="2"/>
      <c r="J29" s="6">
        <f t="shared" si="14"/>
        <v>8.1609756980258241E-2</v>
      </c>
      <c r="K29" s="2"/>
      <c r="L29" s="7">
        <f t="shared" si="15"/>
        <v>-6181.396153846199</v>
      </c>
      <c r="M29" s="2"/>
      <c r="N29" s="6">
        <f t="shared" si="16"/>
        <v>-0.32995873367824746</v>
      </c>
      <c r="O29" s="11"/>
      <c r="P29" s="7">
        <v>110116.48</v>
      </c>
      <c r="Q29" s="2"/>
      <c r="R29" s="6">
        <f t="shared" si="17"/>
        <v>4.6576792409415146</v>
      </c>
      <c r="S29" s="2"/>
      <c r="T29" s="7">
        <v>178200</v>
      </c>
      <c r="U29" s="2"/>
      <c r="V29" s="6">
        <f t="shared" si="18"/>
        <v>0.13242100069257223</v>
      </c>
      <c r="W29" s="2"/>
      <c r="X29" s="7">
        <f t="shared" si="19"/>
        <v>-68083.520000000004</v>
      </c>
      <c r="Y29" s="2"/>
      <c r="Z29" s="6">
        <f t="shared" si="20"/>
        <v>-0.38206240179573514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62.55</v>
      </c>
      <c r="E30" s="2"/>
      <c r="F30" s="6">
        <f t="shared" si="13"/>
        <v>0</v>
      </c>
      <c r="G30" s="2"/>
      <c r="H30" s="7">
        <v>153.39580000000001</v>
      </c>
      <c r="I30" s="2"/>
      <c r="J30" s="6">
        <f t="shared" si="14"/>
        <v>6.6823405386096525E-4</v>
      </c>
      <c r="K30" s="2"/>
      <c r="L30" s="7">
        <f t="shared" si="15"/>
        <v>-90.845800000000011</v>
      </c>
      <c r="M30" s="2"/>
      <c r="N30" s="6">
        <f t="shared" si="16"/>
        <v>-0.59223133879806367</v>
      </c>
      <c r="O30" s="11"/>
      <c r="P30" s="7">
        <v>617.95000000000005</v>
      </c>
      <c r="Q30" s="2"/>
      <c r="R30" s="6">
        <f t="shared" si="17"/>
        <v>2.6137894045830459E-2</v>
      </c>
      <c r="S30" s="2"/>
      <c r="T30" s="7">
        <v>1321.48822</v>
      </c>
      <c r="U30" s="2"/>
      <c r="V30" s="6">
        <f t="shared" si="18"/>
        <v>9.820022025580587E-4</v>
      </c>
      <c r="W30" s="2"/>
      <c r="X30" s="7">
        <f t="shared" si="19"/>
        <v>-703.53821999999991</v>
      </c>
      <c r="Y30" s="2"/>
      <c r="Z30" s="6">
        <f t="shared" si="20"/>
        <v>-0.53238327012858266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950.04</v>
      </c>
      <c r="E31" s="2"/>
      <c r="F31" s="6">
        <f t="shared" si="13"/>
        <v>0</v>
      </c>
      <c r="G31" s="2"/>
      <c r="H31" s="7">
        <v>1246.0870769230801</v>
      </c>
      <c r="I31" s="2"/>
      <c r="J31" s="6">
        <f t="shared" si="14"/>
        <v>5.4282960737912648E-3</v>
      </c>
      <c r="K31" s="2"/>
      <c r="L31" s="7">
        <f t="shared" si="15"/>
        <v>-296.04707692308011</v>
      </c>
      <c r="M31" s="2"/>
      <c r="N31" s="6">
        <f t="shared" si="16"/>
        <v>-0.23758137164386534</v>
      </c>
      <c r="O31" s="11"/>
      <c r="P31" s="7">
        <v>9580.83</v>
      </c>
      <c r="Q31" s="2"/>
      <c r="R31" s="6">
        <f t="shared" si="17"/>
        <v>0.4052475433467333</v>
      </c>
      <c r="S31" s="2"/>
      <c r="T31" s="7">
        <v>12149.349</v>
      </c>
      <c r="U31" s="2"/>
      <c r="V31" s="6">
        <f t="shared" si="18"/>
        <v>9.0282208324539946E-3</v>
      </c>
      <c r="W31" s="2"/>
      <c r="X31" s="7">
        <f t="shared" si="19"/>
        <v>-2568.5190000000002</v>
      </c>
      <c r="Y31" s="2"/>
      <c r="Z31" s="6">
        <f t="shared" si="20"/>
        <v>-0.2114120682515582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575.26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575.26</v>
      </c>
      <c r="M33" s="2"/>
      <c r="N33" s="6">
        <f t="shared" si="16"/>
        <v>0</v>
      </c>
      <c r="O33" s="11"/>
      <c r="P33" s="7">
        <v>3675.1</v>
      </c>
      <c r="Q33" s="2"/>
      <c r="R33" s="6">
        <f t="shared" si="17"/>
        <v>0.15544845765487744</v>
      </c>
      <c r="S33" s="2"/>
      <c r="T33" s="7"/>
      <c r="U33" s="2"/>
      <c r="V33" s="6">
        <f t="shared" si="18"/>
        <v>0</v>
      </c>
      <c r="W33" s="2"/>
      <c r="X33" s="7">
        <f t="shared" si="19"/>
        <v>3675.1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1628.16</v>
      </c>
      <c r="E34" s="2"/>
      <c r="F34" s="6">
        <f t="shared" si="13"/>
        <v>0</v>
      </c>
      <c r="G34" s="2"/>
      <c r="H34" s="7">
        <v>1260.2815384615401</v>
      </c>
      <c r="I34" s="2"/>
      <c r="J34" s="6">
        <f t="shared" si="14"/>
        <v>5.4901310300040085E-3</v>
      </c>
      <c r="K34" s="2"/>
      <c r="L34" s="7">
        <f t="shared" si="15"/>
        <v>367.87846153845999</v>
      </c>
      <c r="M34" s="2"/>
      <c r="N34" s="6">
        <f t="shared" si="16"/>
        <v>0.29190180948579092</v>
      </c>
      <c r="O34" s="11"/>
      <c r="P34" s="7">
        <v>16919.64</v>
      </c>
      <c r="Q34" s="2"/>
      <c r="R34" s="6">
        <f t="shared" si="17"/>
        <v>0.71566268729443294</v>
      </c>
      <c r="S34" s="2"/>
      <c r="T34" s="7">
        <v>12287.745000000001</v>
      </c>
      <c r="U34" s="2"/>
      <c r="V34" s="6">
        <f t="shared" si="18"/>
        <v>9.1310633510390069E-3</v>
      </c>
      <c r="W34" s="2"/>
      <c r="X34" s="7">
        <f t="shared" si="19"/>
        <v>4631.8949999999986</v>
      </c>
      <c r="Y34" s="2"/>
      <c r="Z34" s="6">
        <f t="shared" si="20"/>
        <v>0.37695240257671347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1214.78</v>
      </c>
      <c r="E35" s="2"/>
      <c r="F35" s="6">
        <f t="shared" si="13"/>
        <v>0</v>
      </c>
      <c r="G35" s="2"/>
      <c r="H35" s="7">
        <v>1563.5515384615401</v>
      </c>
      <c r="I35" s="2"/>
      <c r="J35" s="6">
        <f t="shared" si="14"/>
        <v>6.8112580850760171E-3</v>
      </c>
      <c r="K35" s="2"/>
      <c r="L35" s="7">
        <f t="shared" si="15"/>
        <v>-348.7715384615401</v>
      </c>
      <c r="M35" s="2"/>
      <c r="N35" s="6">
        <f t="shared" si="16"/>
        <v>-0.22306366619978168</v>
      </c>
      <c r="O35" s="11"/>
      <c r="P35" s="7">
        <v>11341.52</v>
      </c>
      <c r="Q35" s="2"/>
      <c r="R35" s="6">
        <f t="shared" si="17"/>
        <v>0.47972076717965384</v>
      </c>
      <c r="S35" s="2"/>
      <c r="T35" s="7">
        <v>13235.540999999999</v>
      </c>
      <c r="U35" s="2"/>
      <c r="V35" s="6">
        <f t="shared" si="18"/>
        <v>9.8353736471805172E-3</v>
      </c>
      <c r="W35" s="2"/>
      <c r="X35" s="7">
        <f t="shared" si="19"/>
        <v>-1894.0209999999988</v>
      </c>
      <c r="Y35" s="2"/>
      <c r="Z35" s="6">
        <f t="shared" si="20"/>
        <v>-0.14310113957563192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881.25</v>
      </c>
      <c r="E36" s="2"/>
      <c r="F36" s="6">
        <f t="shared" si="13"/>
        <v>0</v>
      </c>
      <c r="G36" s="2"/>
      <c r="H36" s="7">
        <v>1750</v>
      </c>
      <c r="I36" s="2"/>
      <c r="J36" s="6">
        <f t="shared" si="14"/>
        <v>7.6234785714908038E-3</v>
      </c>
      <c r="K36" s="2"/>
      <c r="L36" s="7">
        <f t="shared" si="15"/>
        <v>-868.75</v>
      </c>
      <c r="M36" s="2"/>
      <c r="N36" s="6">
        <f t="shared" si="16"/>
        <v>-0.49642857142857144</v>
      </c>
      <c r="O36" s="11"/>
      <c r="P36" s="7">
        <v>7246.96</v>
      </c>
      <c r="Q36" s="2"/>
      <c r="R36" s="6">
        <f t="shared" si="17"/>
        <v>0.30653009569442757</v>
      </c>
      <c r="S36" s="2"/>
      <c r="T36" s="7">
        <v>15750</v>
      </c>
      <c r="U36" s="2"/>
      <c r="V36" s="6">
        <f t="shared" si="18"/>
        <v>1.1703876323838455E-2</v>
      </c>
      <c r="W36" s="2"/>
      <c r="X36" s="7">
        <f t="shared" si="19"/>
        <v>-8503.0400000000009</v>
      </c>
      <c r="Y36" s="2"/>
      <c r="Z36" s="6">
        <f t="shared" si="20"/>
        <v>-0.53987555555555566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21046.940000000002</v>
      </c>
      <c r="E37" s="1"/>
      <c r="F37" s="5">
        <f t="shared" ref="F37:F47" si="21">IF(D$12=0,0,D37/D$12)</f>
        <v>0</v>
      </c>
      <c r="G37" s="1"/>
      <c r="H37" s="1">
        <f>SUM(OSRRefH22_1x_0)</f>
        <v>56890.621538461499</v>
      </c>
      <c r="I37" s="1"/>
      <c r="J37" s="5">
        <f t="shared" ref="J37:J47" si="22">IF(H$12=0,0,H37/H$12)</f>
        <v>0.24783110526700253</v>
      </c>
      <c r="K37" s="1"/>
      <c r="L37" s="1">
        <f t="shared" ref="L37:L47" si="23">+D37-H37</f>
        <v>-35843.681538461497</v>
      </c>
      <c r="M37" s="1"/>
      <c r="N37" s="5">
        <f t="shared" ref="N37:N47" si="24">IF(H37=0,0,L37/H37)</f>
        <v>-0.63004552541632897</v>
      </c>
      <c r="O37" s="13"/>
      <c r="P37" s="1">
        <f>SUM(OSRRefP22_1x_0)</f>
        <v>200527.66999999998</v>
      </c>
      <c r="Q37" s="1"/>
      <c r="R37" s="5">
        <f t="shared" ref="R37:R47" si="25">IF(P$12=0,0,P37/P$12)</f>
        <v>8.4818690698555788</v>
      </c>
      <c r="S37" s="1"/>
      <c r="T37" s="1">
        <f>SUM(OSRRefT22_1x_0)</f>
        <v>487714.00999999995</v>
      </c>
      <c r="U37" s="1"/>
      <c r="V37" s="5">
        <f t="shared" ref="V37:V47" si="26">IF(T$12=0,0,T37/T$12)</f>
        <v>0.36242187012338484</v>
      </c>
      <c r="W37" s="1"/>
      <c r="X37" s="1">
        <f t="shared" ref="X37:X47" si="27">+P37-T37</f>
        <v>-287186.33999999997</v>
      </c>
      <c r="Y37" s="1"/>
      <c r="Z37" s="5">
        <f t="shared" ref="Z37:Z47" si="28">IF(T37=0,0,X37/T37)</f>
        <v>-0.58884168613487231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9349.92</v>
      </c>
      <c r="E39" s="2"/>
      <c r="F39" s="6">
        <f t="shared" si="21"/>
        <v>0</v>
      </c>
      <c r="G39" s="2"/>
      <c r="H39" s="7">
        <v>13620.0215384615</v>
      </c>
      <c r="I39" s="2"/>
      <c r="J39" s="6">
        <f t="shared" si="22"/>
        <v>5.933253848097398E-2</v>
      </c>
      <c r="K39" s="2"/>
      <c r="L39" s="7">
        <f t="shared" si="23"/>
        <v>-4270.1015384615002</v>
      </c>
      <c r="M39" s="2"/>
      <c r="N39" s="6">
        <f t="shared" si="24"/>
        <v>-0.31351650409679493</v>
      </c>
      <c r="O39" s="11"/>
      <c r="P39" s="7">
        <v>83155.990000000005</v>
      </c>
      <c r="Q39" s="2"/>
      <c r="R39" s="6">
        <f t="shared" si="25"/>
        <v>3.5173111997671938</v>
      </c>
      <c r="S39" s="2"/>
      <c r="T39" s="7">
        <v>132795.21</v>
      </c>
      <c r="U39" s="2"/>
      <c r="V39" s="6">
        <f t="shared" si="26"/>
        <v>9.8680553284962252E-2</v>
      </c>
      <c r="W39" s="2"/>
      <c r="X39" s="7">
        <f t="shared" si="27"/>
        <v>-49639.219999999987</v>
      </c>
      <c r="Y39" s="2"/>
      <c r="Z39" s="6">
        <f t="shared" si="28"/>
        <v>-0.3738027900253329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10857.02</v>
      </c>
      <c r="E41" s="2"/>
      <c r="F41" s="6">
        <f t="shared" si="21"/>
        <v>0</v>
      </c>
      <c r="G41" s="2"/>
      <c r="H41" s="7">
        <v>30537.599999999999</v>
      </c>
      <c r="I41" s="2"/>
      <c r="J41" s="6">
        <f t="shared" si="22"/>
        <v>0.13303013669986147</v>
      </c>
      <c r="K41" s="2"/>
      <c r="L41" s="7">
        <f t="shared" si="23"/>
        <v>-19680.579999999998</v>
      </c>
      <c r="M41" s="2"/>
      <c r="N41" s="6">
        <f t="shared" si="24"/>
        <v>-0.64447042334695581</v>
      </c>
      <c r="O41" s="11"/>
      <c r="P41" s="7">
        <v>114188.68</v>
      </c>
      <c r="Q41" s="2"/>
      <c r="R41" s="6">
        <f t="shared" si="25"/>
        <v>4.8299241347572446</v>
      </c>
      <c r="S41" s="2"/>
      <c r="T41" s="7">
        <v>271565.59999999998</v>
      </c>
      <c r="U41" s="2"/>
      <c r="V41" s="6">
        <f t="shared" si="26"/>
        <v>0.20180128229898311</v>
      </c>
      <c r="W41" s="2"/>
      <c r="X41" s="7">
        <f t="shared" si="27"/>
        <v>-157376.91999999998</v>
      </c>
      <c r="Y41" s="2"/>
      <c r="Z41" s="6">
        <f t="shared" si="28"/>
        <v>-0.57951714060985637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840</v>
      </c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840</v>
      </c>
      <c r="M44" s="2"/>
      <c r="N44" s="6">
        <f t="shared" si="24"/>
        <v>0</v>
      </c>
      <c r="O44" s="11"/>
      <c r="P44" s="7">
        <v>3183</v>
      </c>
      <c r="Q44" s="2"/>
      <c r="R44" s="6">
        <f t="shared" si="25"/>
        <v>0.13463373533114062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3183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12733</v>
      </c>
      <c r="I45" s="2"/>
      <c r="J45" s="6">
        <f t="shared" si="22"/>
        <v>5.5468430086167086E-2</v>
      </c>
      <c r="K45" s="2"/>
      <c r="L45" s="7">
        <f t="shared" si="23"/>
        <v>-12733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83353.2</v>
      </c>
      <c r="U45" s="2"/>
      <c r="V45" s="6">
        <f t="shared" si="26"/>
        <v>6.1940034539439463E-2</v>
      </c>
      <c r="W45" s="2"/>
      <c r="X45" s="7">
        <f t="shared" si="27"/>
        <v>-83353.2</v>
      </c>
      <c r="Y45" s="2"/>
      <c r="Z45" s="6">
        <f t="shared" si="28"/>
        <v>-1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2.1781367347116581E-3</v>
      </c>
      <c r="K48" s="1"/>
      <c r="L48" s="1">
        <f t="shared" ref="L48:L69" si="31">+D48-H48</f>
        <v>-500</v>
      </c>
      <c r="M48" s="1"/>
      <c r="N48" s="5">
        <f t="shared" ref="N48:N69" si="32">IF(H48=0,0,L48/H48)</f>
        <v>-1</v>
      </c>
      <c r="O48" s="13"/>
      <c r="P48" s="1">
        <f>SUM(OSRRefP22_2x_0)</f>
        <v>204.75</v>
      </c>
      <c r="Q48" s="1"/>
      <c r="R48" s="5">
        <f t="shared" ref="R48:R69" si="33">IF(P$12=0,0,P48/P$12)</f>
        <v>8.660464124741139E-3</v>
      </c>
      <c r="S48" s="1"/>
      <c r="T48" s="1">
        <f>SUM(OSRRefT22_2x_0)</f>
        <v>4500</v>
      </c>
      <c r="U48" s="1"/>
      <c r="V48" s="5">
        <f t="shared" ref="V48:V69" si="34">IF(T$12=0,0,T48/T$12)</f>
        <v>3.3439646639538442E-3</v>
      </c>
      <c r="W48" s="1"/>
      <c r="X48" s="1">
        <f t="shared" ref="X48:X69" si="35">+P48-T48</f>
        <v>-4295.25</v>
      </c>
      <c r="Y48" s="1"/>
      <c r="Z48" s="5">
        <f t="shared" ref="Z48:Z69" si="36">IF(T48=0,0,X48/T48)</f>
        <v>-0.95450000000000002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2.1781367347116581E-3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8.660464124741139E-3</v>
      </c>
      <c r="S49" s="2"/>
      <c r="T49" s="7">
        <v>4500</v>
      </c>
      <c r="U49" s="2"/>
      <c r="V49" s="6">
        <f t="shared" si="34"/>
        <v>3.3439646639538442E-3</v>
      </c>
      <c r="W49" s="2"/>
      <c r="X49" s="7">
        <f t="shared" si="35"/>
        <v>-4295.25</v>
      </c>
      <c r="Y49" s="2"/>
      <c r="Z49" s="6">
        <f t="shared" si="36"/>
        <v>-0.95450000000000002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6.5344102041349752E-5</v>
      </c>
      <c r="K50" s="1"/>
      <c r="L50" s="1">
        <f t="shared" si="31"/>
        <v>-15</v>
      </c>
      <c r="M50" s="1"/>
      <c r="N50" s="5">
        <f t="shared" si="32"/>
        <v>-1</v>
      </c>
      <c r="O50" s="13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135</v>
      </c>
      <c r="U50" s="1"/>
      <c r="V50" s="5">
        <f t="shared" si="34"/>
        <v>1.0031893991861534E-4</v>
      </c>
      <c r="W50" s="1"/>
      <c r="X50" s="1">
        <f t="shared" si="35"/>
        <v>-135</v>
      </c>
      <c r="Y50" s="1"/>
      <c r="Z50" s="5">
        <f t="shared" si="36"/>
        <v>-1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6.5344102041349752E-5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>
        <v>0</v>
      </c>
      <c r="Q51" s="2"/>
      <c r="R51" s="6">
        <f t="shared" si="33"/>
        <v>0</v>
      </c>
      <c r="S51" s="2"/>
      <c r="T51" s="7">
        <v>135</v>
      </c>
      <c r="U51" s="2"/>
      <c r="V51" s="6">
        <f t="shared" si="34"/>
        <v>1.0031893991861534E-4</v>
      </c>
      <c r="W51" s="2"/>
      <c r="X51" s="7">
        <f t="shared" si="35"/>
        <v>-135</v>
      </c>
      <c r="Y51" s="2"/>
      <c r="Z51" s="6">
        <f t="shared" si="36"/>
        <v>-1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1.089068367355829E-3</v>
      </c>
      <c r="K52" s="1"/>
      <c r="L52" s="1">
        <f t="shared" si="31"/>
        <v>-250</v>
      </c>
      <c r="M52" s="1"/>
      <c r="N52" s="5">
        <f t="shared" si="32"/>
        <v>-1</v>
      </c>
      <c r="O52" s="13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2250</v>
      </c>
      <c r="U52" s="1"/>
      <c r="V52" s="5">
        <f t="shared" si="34"/>
        <v>1.6719823319769221E-3</v>
      </c>
      <c r="W52" s="1"/>
      <c r="X52" s="1">
        <f t="shared" si="35"/>
        <v>-2250</v>
      </c>
      <c r="Y52" s="1"/>
      <c r="Z52" s="5">
        <f t="shared" si="36"/>
        <v>-1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1.089068367355829E-3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2250</v>
      </c>
      <c r="U53" s="2"/>
      <c r="V53" s="6">
        <f t="shared" si="34"/>
        <v>1.6719823319769221E-3</v>
      </c>
      <c r="W53" s="2"/>
      <c r="X53" s="7">
        <f t="shared" si="35"/>
        <v>-2250</v>
      </c>
      <c r="Y53" s="2"/>
      <c r="Z53" s="6">
        <f t="shared" si="36"/>
        <v>-1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3"/>
      <c r="P54" s="1">
        <f>SUM(OSRRefP22_5x_0)</f>
        <v>2190.44</v>
      </c>
      <c r="Q54" s="1"/>
      <c r="R54" s="5">
        <f t="shared" si="33"/>
        <v>9.2650681501333237E-2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2190.44</v>
      </c>
      <c r="Y54" s="1"/>
      <c r="Z54" s="5">
        <f t="shared" si="36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2190.44</v>
      </c>
      <c r="Q55" s="2"/>
      <c r="R55" s="6">
        <f t="shared" si="33"/>
        <v>9.2650681501333237E-2</v>
      </c>
      <c r="S55" s="2"/>
      <c r="T55" s="7"/>
      <c r="U55" s="2"/>
      <c r="V55" s="6">
        <f t="shared" si="34"/>
        <v>0</v>
      </c>
      <c r="W55" s="2"/>
      <c r="X55" s="7">
        <f t="shared" si="35"/>
        <v>2190.44</v>
      </c>
      <c r="Y55" s="2"/>
      <c r="Z55" s="6">
        <f t="shared" si="36"/>
        <v>0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3.4850187755386529E-2</v>
      </c>
      <c r="K56" s="1"/>
      <c r="L56" s="1">
        <f t="shared" si="31"/>
        <v>-8000</v>
      </c>
      <c r="M56" s="1"/>
      <c r="N56" s="5">
        <f t="shared" si="32"/>
        <v>-1</v>
      </c>
      <c r="O56" s="13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58000</v>
      </c>
      <c r="U56" s="1"/>
      <c r="V56" s="5">
        <f t="shared" si="34"/>
        <v>4.3099989002071772E-2</v>
      </c>
      <c r="W56" s="1"/>
      <c r="X56" s="1">
        <f t="shared" si="35"/>
        <v>-58000</v>
      </c>
      <c r="Y56" s="1"/>
      <c r="Z56" s="5">
        <f t="shared" si="36"/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8000</v>
      </c>
      <c r="I57" s="2"/>
      <c r="J57" s="6">
        <f t="shared" si="30"/>
        <v>3.4850187755386529E-2</v>
      </c>
      <c r="K57" s="2"/>
      <c r="L57" s="7">
        <f t="shared" si="31"/>
        <v>-8000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58000</v>
      </c>
      <c r="U57" s="2"/>
      <c r="V57" s="6">
        <f t="shared" si="34"/>
        <v>4.3099989002071772E-2</v>
      </c>
      <c r="W57" s="2"/>
      <c r="X57" s="7">
        <f t="shared" si="35"/>
        <v>-58000</v>
      </c>
      <c r="Y57" s="2"/>
      <c r="Z57" s="6">
        <f t="shared" si="36"/>
        <v>-1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4.3562734694233164E-4</v>
      </c>
      <c r="K58" s="1"/>
      <c r="L58" s="1">
        <f t="shared" si="31"/>
        <v>-100</v>
      </c>
      <c r="M58" s="1"/>
      <c r="N58" s="5">
        <f t="shared" si="32"/>
        <v>-1</v>
      </c>
      <c r="O58" s="13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900</v>
      </c>
      <c r="U58" s="1"/>
      <c r="V58" s="5">
        <f t="shared" si="34"/>
        <v>6.6879293279076886E-4</v>
      </c>
      <c r="W58" s="1"/>
      <c r="X58" s="1">
        <f t="shared" si="35"/>
        <v>-900</v>
      </c>
      <c r="Y58" s="1"/>
      <c r="Z58" s="5">
        <f t="shared" si="36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4.3562734694233164E-4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900</v>
      </c>
      <c r="U59" s="2"/>
      <c r="V59" s="6">
        <f t="shared" si="34"/>
        <v>6.6879293279076886E-4</v>
      </c>
      <c r="W59" s="2"/>
      <c r="X59" s="7">
        <f t="shared" si="35"/>
        <v>-900</v>
      </c>
      <c r="Y59" s="2"/>
      <c r="Z59" s="6">
        <f t="shared" si="36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207.89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1.7425093877693266E-3</v>
      </c>
      <c r="K60" s="1"/>
      <c r="L60" s="1">
        <f t="shared" si="31"/>
        <v>-192.11</v>
      </c>
      <c r="M60" s="1"/>
      <c r="N60" s="5">
        <f t="shared" si="32"/>
        <v>-0.48027500000000001</v>
      </c>
      <c r="O60" s="13"/>
      <c r="P60" s="1">
        <f>SUM(OSRRefP22_8x_0)</f>
        <v>1922.13</v>
      </c>
      <c r="Q60" s="1"/>
      <c r="R60" s="5">
        <f t="shared" si="33"/>
        <v>8.1301772444877587E-2</v>
      </c>
      <c r="S60" s="1"/>
      <c r="T60" s="1">
        <f>SUM(OSRRefT22_8x_0)</f>
        <v>3600</v>
      </c>
      <c r="U60" s="1"/>
      <c r="V60" s="5">
        <f t="shared" si="34"/>
        <v>2.6751717311630755E-3</v>
      </c>
      <c r="W60" s="1"/>
      <c r="X60" s="1">
        <f t="shared" si="35"/>
        <v>-1677.87</v>
      </c>
      <c r="Y60" s="1"/>
      <c r="Z60" s="5">
        <f t="shared" si="36"/>
        <v>-0.46607499999999996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207.89</v>
      </c>
      <c r="E61" s="2"/>
      <c r="F61" s="6">
        <f t="shared" si="29"/>
        <v>0</v>
      </c>
      <c r="G61" s="2"/>
      <c r="H61" s="7">
        <v>400</v>
      </c>
      <c r="I61" s="2"/>
      <c r="J61" s="6">
        <f t="shared" si="30"/>
        <v>1.7425093877693266E-3</v>
      </c>
      <c r="K61" s="2"/>
      <c r="L61" s="7">
        <f t="shared" si="31"/>
        <v>-192.11</v>
      </c>
      <c r="M61" s="2"/>
      <c r="N61" s="6">
        <f t="shared" si="32"/>
        <v>-0.48027500000000001</v>
      </c>
      <c r="O61" s="11"/>
      <c r="P61" s="7">
        <v>1922.13</v>
      </c>
      <c r="Q61" s="2"/>
      <c r="R61" s="6">
        <f t="shared" si="33"/>
        <v>8.1301772444877587E-2</v>
      </c>
      <c r="S61" s="2"/>
      <c r="T61" s="7">
        <v>3600</v>
      </c>
      <c r="U61" s="2"/>
      <c r="V61" s="6">
        <f t="shared" si="34"/>
        <v>2.6751717311630755E-3</v>
      </c>
      <c r="W61" s="2"/>
      <c r="X61" s="7">
        <f t="shared" si="35"/>
        <v>-1677.87</v>
      </c>
      <c r="Y61" s="2"/>
      <c r="Z61" s="6">
        <f t="shared" si="36"/>
        <v>-0.46607499999999996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6.5344102041349744E-4</v>
      </c>
      <c r="K62" s="1"/>
      <c r="L62" s="1">
        <f t="shared" si="31"/>
        <v>-150</v>
      </c>
      <c r="M62" s="1"/>
      <c r="N62" s="5">
        <f t="shared" si="32"/>
        <v>-1</v>
      </c>
      <c r="O62" s="13"/>
      <c r="P62" s="1">
        <f>SUM(OSRRefP22_9x_0)</f>
        <v>3828.45</v>
      </c>
      <c r="Q62" s="1"/>
      <c r="R62" s="5">
        <f t="shared" si="33"/>
        <v>0.16193481747675317</v>
      </c>
      <c r="S62" s="1"/>
      <c r="T62" s="1">
        <f>SUM(OSRRefT22_9x_0)</f>
        <v>2700</v>
      </c>
      <c r="U62" s="1"/>
      <c r="V62" s="5">
        <f t="shared" si="34"/>
        <v>2.0063787983723067E-3</v>
      </c>
      <c r="W62" s="1"/>
      <c r="X62" s="1">
        <f t="shared" si="35"/>
        <v>1128.4499999999998</v>
      </c>
      <c r="Y62" s="1"/>
      <c r="Z62" s="5">
        <f t="shared" si="36"/>
        <v>0.4179444444444444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6.5344102041349744E-4</v>
      </c>
      <c r="K63" s="2"/>
      <c r="L63" s="7">
        <f t="shared" si="31"/>
        <v>-150</v>
      </c>
      <c r="M63" s="2"/>
      <c r="N63" s="6">
        <f t="shared" si="32"/>
        <v>-1</v>
      </c>
      <c r="O63" s="11"/>
      <c r="P63" s="7">
        <v>3828.45</v>
      </c>
      <c r="Q63" s="2"/>
      <c r="R63" s="6">
        <f t="shared" si="33"/>
        <v>0.16193481747675317</v>
      </c>
      <c r="S63" s="2"/>
      <c r="T63" s="7">
        <v>2700</v>
      </c>
      <c r="U63" s="2"/>
      <c r="V63" s="6">
        <f t="shared" si="34"/>
        <v>2.0063787983723067E-3</v>
      </c>
      <c r="W63" s="2"/>
      <c r="X63" s="7">
        <f t="shared" si="35"/>
        <v>1128.4499999999998</v>
      </c>
      <c r="Y63" s="2"/>
      <c r="Z63" s="6">
        <f t="shared" si="36"/>
        <v>0.4179444444444444</v>
      </c>
    </row>
    <row r="64" spans="1:26" s="25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18364</v>
      </c>
      <c r="I64" s="1"/>
      <c r="J64" s="5">
        <f t="shared" si="30"/>
        <v>7.9998605992489785E-2</v>
      </c>
      <c r="K64" s="1"/>
      <c r="L64" s="1">
        <f t="shared" si="31"/>
        <v>-18364</v>
      </c>
      <c r="M64" s="1"/>
      <c r="N64" s="5">
        <f t="shared" si="32"/>
        <v>-1</v>
      </c>
      <c r="O64" s="13"/>
      <c r="P64" s="1">
        <f>SUM(OSRRefP22_10x_0)</f>
        <v>1899.35</v>
      </c>
      <c r="Q64" s="1"/>
      <c r="R64" s="5">
        <f t="shared" si="33"/>
        <v>8.0338229720767179E-2</v>
      </c>
      <c r="S64" s="1"/>
      <c r="T64" s="1">
        <f>SUM(OSRRefT22_10x_0)</f>
        <v>107658</v>
      </c>
      <c r="U64" s="1"/>
      <c r="V64" s="5">
        <f t="shared" si="34"/>
        <v>8.0001010620431773E-2</v>
      </c>
      <c r="W64" s="1"/>
      <c r="X64" s="1">
        <f t="shared" si="35"/>
        <v>-105758.65</v>
      </c>
      <c r="Y64" s="1"/>
      <c r="Z64" s="5">
        <f t="shared" si="36"/>
        <v>-0.98235755819353876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18364</v>
      </c>
      <c r="I65" s="2"/>
      <c r="J65" s="6">
        <f t="shared" si="30"/>
        <v>7.9998605992489785E-2</v>
      </c>
      <c r="K65" s="2"/>
      <c r="L65" s="7">
        <f t="shared" si="31"/>
        <v>-18364</v>
      </c>
      <c r="M65" s="2"/>
      <c r="N65" s="6">
        <f t="shared" si="32"/>
        <v>-1</v>
      </c>
      <c r="O65" s="11"/>
      <c r="P65" s="7">
        <v>1899.35</v>
      </c>
      <c r="Q65" s="2"/>
      <c r="R65" s="6">
        <f t="shared" si="33"/>
        <v>8.0338229720767179E-2</v>
      </c>
      <c r="S65" s="2"/>
      <c r="T65" s="7">
        <v>107658</v>
      </c>
      <c r="U65" s="2"/>
      <c r="V65" s="6">
        <f t="shared" si="34"/>
        <v>8.0001010620431773E-2</v>
      </c>
      <c r="W65" s="2"/>
      <c r="X65" s="7">
        <f t="shared" si="35"/>
        <v>-105758.65</v>
      </c>
      <c r="Y65" s="2"/>
      <c r="Z65" s="6">
        <f t="shared" si="36"/>
        <v>-0.98235755819353876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84.4</v>
      </c>
      <c r="E66" s="1"/>
      <c r="F66" s="5">
        <f t="shared" si="29"/>
        <v>0</v>
      </c>
      <c r="G66" s="1"/>
      <c r="H66" s="1">
        <f>SUM(OSRRefH22_11x_0)</f>
        <v>200</v>
      </c>
      <c r="I66" s="1"/>
      <c r="J66" s="5">
        <f t="shared" si="30"/>
        <v>8.7125469388466329E-4</v>
      </c>
      <c r="K66" s="1"/>
      <c r="L66" s="1">
        <f t="shared" si="31"/>
        <v>-115.6</v>
      </c>
      <c r="M66" s="1"/>
      <c r="N66" s="5">
        <f t="shared" si="32"/>
        <v>-0.57799999999999996</v>
      </c>
      <c r="O66" s="13"/>
      <c r="P66" s="1">
        <f>SUM(OSRRefP22_11x_0)</f>
        <v>1345.25</v>
      </c>
      <c r="Q66" s="1"/>
      <c r="R66" s="5">
        <f t="shared" si="33"/>
        <v>5.6901046953885308E-2</v>
      </c>
      <c r="S66" s="1"/>
      <c r="T66" s="1">
        <f>SUM(OSRRefT22_11x_0)</f>
        <v>15200</v>
      </c>
      <c r="U66" s="1"/>
      <c r="V66" s="5">
        <f t="shared" si="34"/>
        <v>1.129516953157743E-2</v>
      </c>
      <c r="W66" s="1"/>
      <c r="X66" s="1">
        <f t="shared" si="35"/>
        <v>-13854.75</v>
      </c>
      <c r="Y66" s="1"/>
      <c r="Z66" s="5">
        <f t="shared" si="36"/>
        <v>-0.91149671052631576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/>
      <c r="Q67" s="2"/>
      <c r="R67" s="6">
        <f t="shared" si="33"/>
        <v>0</v>
      </c>
      <c r="S67" s="2"/>
      <c r="T67" s="7">
        <v>8000</v>
      </c>
      <c r="U67" s="2"/>
      <c r="V67" s="6">
        <f t="shared" si="34"/>
        <v>5.9448260692512786E-3</v>
      </c>
      <c r="W67" s="2"/>
      <c r="X67" s="7">
        <f t="shared" si="35"/>
        <v>-8000</v>
      </c>
      <c r="Y67" s="2"/>
      <c r="Z67" s="6">
        <f t="shared" si="36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>
        <v>84.4</v>
      </c>
      <c r="E68" s="2"/>
      <c r="F68" s="6">
        <f t="shared" si="29"/>
        <v>0</v>
      </c>
      <c r="G68" s="2"/>
      <c r="H68" s="7"/>
      <c r="I68" s="2"/>
      <c r="J68" s="6">
        <f t="shared" si="30"/>
        <v>0</v>
      </c>
      <c r="K68" s="2"/>
      <c r="L68" s="7">
        <f t="shared" si="31"/>
        <v>84.4</v>
      </c>
      <c r="M68" s="2"/>
      <c r="N68" s="6">
        <f t="shared" si="32"/>
        <v>0</v>
      </c>
      <c r="O68" s="11"/>
      <c r="P68" s="7">
        <v>1326.25</v>
      </c>
      <c r="Q68" s="2"/>
      <c r="R68" s="6">
        <f t="shared" si="33"/>
        <v>5.6097389721308594E-2</v>
      </c>
      <c r="S68" s="2"/>
      <c r="T68" s="7">
        <v>5400</v>
      </c>
      <c r="U68" s="2"/>
      <c r="V68" s="6">
        <f t="shared" si="34"/>
        <v>4.0127575967446134E-3</v>
      </c>
      <c r="W68" s="2"/>
      <c r="X68" s="7">
        <f t="shared" si="35"/>
        <v>-4073.75</v>
      </c>
      <c r="Y68" s="2"/>
      <c r="Z68" s="6">
        <f t="shared" si="36"/>
        <v>-0.7543981481481481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9"/>
        <v>0</v>
      </c>
      <c r="G69" s="2"/>
      <c r="H69" s="7">
        <v>200</v>
      </c>
      <c r="I69" s="2"/>
      <c r="J69" s="6">
        <f t="shared" si="30"/>
        <v>8.7125469388466329E-4</v>
      </c>
      <c r="K69" s="2"/>
      <c r="L69" s="7">
        <f t="shared" si="31"/>
        <v>-200</v>
      </c>
      <c r="M69" s="2"/>
      <c r="N69" s="6">
        <f t="shared" si="32"/>
        <v>-1</v>
      </c>
      <c r="O69" s="11"/>
      <c r="P69" s="7">
        <v>19</v>
      </c>
      <c r="Q69" s="2"/>
      <c r="R69" s="6">
        <f t="shared" si="33"/>
        <v>8.036572325767113E-4</v>
      </c>
      <c r="S69" s="2"/>
      <c r="T69" s="7">
        <v>1800</v>
      </c>
      <c r="U69" s="2"/>
      <c r="V69" s="6">
        <f t="shared" si="34"/>
        <v>1.3375858655815377E-3</v>
      </c>
      <c r="W69" s="2"/>
      <c r="X69" s="7">
        <f t="shared" si="35"/>
        <v>-1781</v>
      </c>
      <c r="Y69" s="2"/>
      <c r="Z69" s="6">
        <f t="shared" si="36"/>
        <v>-0.98944444444444446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5301.73</v>
      </c>
      <c r="E70" s="1"/>
      <c r="F70" s="5">
        <f t="shared" ref="F70:F74" si="37">IF(D$12=0,0,D70/D$12)</f>
        <v>0</v>
      </c>
      <c r="G70" s="1"/>
      <c r="H70" s="1">
        <f>SUM(OSRRefH22_12x_0)</f>
        <v>6879</v>
      </c>
      <c r="I70" s="1"/>
      <c r="J70" s="5">
        <f t="shared" ref="J70:J74" si="38">IF(H$12=0,0,H70/H$12)</f>
        <v>2.9966805196162995E-2</v>
      </c>
      <c r="K70" s="1"/>
      <c r="L70" s="1">
        <f t="shared" ref="L70:L74" si="39">+D70-H70</f>
        <v>-1577.2700000000004</v>
      </c>
      <c r="M70" s="1"/>
      <c r="N70" s="5">
        <f t="shared" ref="N70:N74" si="40">IF(H70=0,0,L70/H70)</f>
        <v>-0.22928768716383202</v>
      </c>
      <c r="O70" s="13"/>
      <c r="P70" s="1">
        <f>SUM(OSRRefP22_12x_0)</f>
        <v>51458.790000000008</v>
      </c>
      <c r="Q70" s="1"/>
      <c r="R70" s="5">
        <f t="shared" ref="R70:R74" si="41">IF(P$12=0,0,P70/P$12)</f>
        <v>2.1765909875340079</v>
      </c>
      <c r="S70" s="1"/>
      <c r="T70" s="1">
        <f>SUM(OSRRefT22_12x_0)</f>
        <v>60279</v>
      </c>
      <c r="U70" s="1"/>
      <c r="V70" s="5">
        <f t="shared" ref="V70:V74" si="42">IF(T$12=0,0,T70/T$12)</f>
        <v>4.4793521328549732E-2</v>
      </c>
      <c r="W70" s="1"/>
      <c r="X70" s="1">
        <f t="shared" ref="X70:X74" si="43">+P70-T70</f>
        <v>-8820.2099999999919</v>
      </c>
      <c r="Y70" s="1"/>
      <c r="Z70" s="5">
        <f t="shared" ref="Z70:Z74" si="44">IF(T70=0,0,X70/T70)</f>
        <v>-0.14632309759617765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417.32</v>
      </c>
      <c r="E71" s="2"/>
      <c r="F71" s="6">
        <f t="shared" si="37"/>
        <v>0</v>
      </c>
      <c r="G71" s="2"/>
      <c r="H71" s="7">
        <v>450</v>
      </c>
      <c r="I71" s="2"/>
      <c r="J71" s="6">
        <f t="shared" si="38"/>
        <v>1.9603230612404926E-3</v>
      </c>
      <c r="K71" s="2"/>
      <c r="L71" s="7">
        <f t="shared" si="39"/>
        <v>-32.680000000000007</v>
      </c>
      <c r="M71" s="2"/>
      <c r="N71" s="6">
        <f t="shared" si="40"/>
        <v>-7.2622222222222241E-2</v>
      </c>
      <c r="O71" s="11"/>
      <c r="P71" s="7">
        <v>3426.94</v>
      </c>
      <c r="Q71" s="2"/>
      <c r="R71" s="6">
        <f t="shared" si="41"/>
        <v>0.14495184824244395</v>
      </c>
      <c r="S71" s="2"/>
      <c r="T71" s="7">
        <v>4050</v>
      </c>
      <c r="U71" s="2"/>
      <c r="V71" s="6">
        <f t="shared" si="42"/>
        <v>3.0095681975584598E-3</v>
      </c>
      <c r="W71" s="2"/>
      <c r="X71" s="7">
        <f t="shared" si="43"/>
        <v>-623.05999999999995</v>
      </c>
      <c r="Y71" s="2"/>
      <c r="Z71" s="6">
        <f t="shared" si="44"/>
        <v>-0.15384197530864197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>
        <v>500</v>
      </c>
      <c r="I72" s="2"/>
      <c r="J72" s="6">
        <f t="shared" si="38"/>
        <v>2.1781367347116581E-3</v>
      </c>
      <c r="K72" s="2"/>
      <c r="L72" s="7">
        <f t="shared" si="39"/>
        <v>-500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4500</v>
      </c>
      <c r="U72" s="2"/>
      <c r="V72" s="6">
        <f t="shared" si="42"/>
        <v>3.3439646639538442E-3</v>
      </c>
      <c r="W72" s="2"/>
      <c r="X72" s="7">
        <f t="shared" si="43"/>
        <v>-4500</v>
      </c>
      <c r="Y72" s="2"/>
      <c r="Z72" s="6">
        <f t="shared" si="44"/>
        <v>-1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4532.4799999999996</v>
      </c>
      <c r="E73" s="2"/>
      <c r="F73" s="6">
        <f t="shared" si="37"/>
        <v>0</v>
      </c>
      <c r="G73" s="2"/>
      <c r="H73" s="7">
        <v>4429</v>
      </c>
      <c r="I73" s="2"/>
      <c r="J73" s="6">
        <f t="shared" si="38"/>
        <v>1.9293935196075869E-2</v>
      </c>
      <c r="K73" s="2"/>
      <c r="L73" s="7">
        <f t="shared" si="39"/>
        <v>103.47999999999956</v>
      </c>
      <c r="M73" s="2"/>
      <c r="N73" s="6">
        <f t="shared" si="40"/>
        <v>2.3364190562203558E-2</v>
      </c>
      <c r="O73" s="11"/>
      <c r="P73" s="7">
        <v>42489.55</v>
      </c>
      <c r="Q73" s="2"/>
      <c r="R73" s="6">
        <f t="shared" si="41"/>
        <v>1.7972123245489371</v>
      </c>
      <c r="S73" s="2"/>
      <c r="T73" s="7">
        <v>38229</v>
      </c>
      <c r="U73" s="2"/>
      <c r="V73" s="6">
        <f t="shared" si="42"/>
        <v>2.8408094475175893E-2</v>
      </c>
      <c r="W73" s="2"/>
      <c r="X73" s="7">
        <f t="shared" si="43"/>
        <v>4260.5500000000029</v>
      </c>
      <c r="Y73" s="2"/>
      <c r="Z73" s="6">
        <f t="shared" si="44"/>
        <v>0.11144811530513492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>
        <v>351.93</v>
      </c>
      <c r="E74" s="2"/>
      <c r="F74" s="6">
        <f t="shared" si="37"/>
        <v>0</v>
      </c>
      <c r="G74" s="2"/>
      <c r="H74" s="7">
        <v>1500</v>
      </c>
      <c r="I74" s="2"/>
      <c r="J74" s="6">
        <f t="shared" si="38"/>
        <v>6.5344102041349746E-3</v>
      </c>
      <c r="K74" s="2"/>
      <c r="L74" s="7">
        <f t="shared" si="39"/>
        <v>-1148.07</v>
      </c>
      <c r="M74" s="2"/>
      <c r="N74" s="6">
        <f t="shared" si="40"/>
        <v>-0.76537999999999995</v>
      </c>
      <c r="O74" s="11"/>
      <c r="P74" s="7">
        <v>5542.3</v>
      </c>
      <c r="Q74" s="2"/>
      <c r="R74" s="6">
        <f t="shared" si="41"/>
        <v>0.23442681474262669</v>
      </c>
      <c r="S74" s="2"/>
      <c r="T74" s="7">
        <v>13500</v>
      </c>
      <c r="U74" s="2"/>
      <c r="V74" s="6">
        <f t="shared" si="42"/>
        <v>1.0031893991861534E-2</v>
      </c>
      <c r="W74" s="2"/>
      <c r="X74" s="7">
        <f t="shared" si="43"/>
        <v>-7957.7</v>
      </c>
      <c r="Y74" s="2"/>
      <c r="Z74" s="6">
        <f t="shared" si="44"/>
        <v>-0.58945925925925924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0</v>
      </c>
      <c r="E75" s="1"/>
      <c r="F75" s="5">
        <f t="shared" ref="F75:F83" si="45">IF(D$12=0,0,D75/D$12)</f>
        <v>0</v>
      </c>
      <c r="G75" s="1"/>
      <c r="H75" s="1">
        <f>SUM(OSRRefH22_13x_0)</f>
        <v>11750</v>
      </c>
      <c r="I75" s="1"/>
      <c r="J75" s="5">
        <f t="shared" ref="J75:J83" si="46">IF(H$12=0,0,H75/H$12)</f>
        <v>5.1186213265723972E-2</v>
      </c>
      <c r="K75" s="1"/>
      <c r="L75" s="1">
        <f t="shared" ref="L75:L83" si="47">+D75-H75</f>
        <v>-11750</v>
      </c>
      <c r="M75" s="1"/>
      <c r="N75" s="5">
        <f t="shared" ref="N75:N83" si="48">IF(H75=0,0,L75/H75)</f>
        <v>-1</v>
      </c>
      <c r="O75" s="13"/>
      <c r="P75" s="1">
        <f>SUM(OSRRefP22_13x_0)</f>
        <v>10125.33</v>
      </c>
      <c r="Q75" s="1"/>
      <c r="R75" s="5">
        <f t="shared" ref="R75:R83" si="49">IF(P$12=0,0,P75/P$12)</f>
        <v>0.42827866772241852</v>
      </c>
      <c r="S75" s="1"/>
      <c r="T75" s="1">
        <f>SUM(OSRRefT22_13x_0)</f>
        <v>111750</v>
      </c>
      <c r="U75" s="1"/>
      <c r="V75" s="5">
        <f t="shared" ref="V75:V83" si="50">IF(T$12=0,0,T75/T$12)</f>
        <v>8.3041789154853801E-2</v>
      </c>
      <c r="W75" s="1"/>
      <c r="X75" s="1">
        <f t="shared" ref="X75:X83" si="51">+P75-T75</f>
        <v>-101624.67</v>
      </c>
      <c r="Y75" s="1"/>
      <c r="Z75" s="5">
        <f t="shared" ref="Z75:Z83" si="52">IF(T75=0,0,X75/T75)</f>
        <v>-0.90939302013422818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5"/>
        <v>0</v>
      </c>
      <c r="G76" s="2"/>
      <c r="H76" s="7">
        <v>5000</v>
      </c>
      <c r="I76" s="2"/>
      <c r="J76" s="6">
        <f t="shared" si="46"/>
        <v>2.1781367347116581E-2</v>
      </c>
      <c r="K76" s="2"/>
      <c r="L76" s="7">
        <f t="shared" si="47"/>
        <v>-5000</v>
      </c>
      <c r="M76" s="2"/>
      <c r="N76" s="6">
        <f t="shared" si="48"/>
        <v>-1</v>
      </c>
      <c r="O76" s="11"/>
      <c r="P76" s="7">
        <v>1375.08</v>
      </c>
      <c r="Q76" s="2"/>
      <c r="R76" s="6">
        <f t="shared" si="49"/>
        <v>5.8162788809030738E-2</v>
      </c>
      <c r="S76" s="2"/>
      <c r="T76" s="7">
        <v>45000</v>
      </c>
      <c r="U76" s="2"/>
      <c r="V76" s="6">
        <f t="shared" si="50"/>
        <v>3.3439646639538446E-2</v>
      </c>
      <c r="W76" s="2"/>
      <c r="X76" s="7">
        <f t="shared" si="51"/>
        <v>-43624.92</v>
      </c>
      <c r="Y76" s="2"/>
      <c r="Z76" s="6">
        <f t="shared" si="52"/>
        <v>-0.96944266666666667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5"/>
        <v>0</v>
      </c>
      <c r="G77" s="2"/>
      <c r="H77" s="7">
        <v>4000</v>
      </c>
      <c r="I77" s="2"/>
      <c r="J77" s="6">
        <f t="shared" si="46"/>
        <v>1.7425093877693264E-2</v>
      </c>
      <c r="K77" s="2"/>
      <c r="L77" s="7">
        <f t="shared" si="47"/>
        <v>-4000</v>
      </c>
      <c r="M77" s="2"/>
      <c r="N77" s="6">
        <f t="shared" si="48"/>
        <v>-1</v>
      </c>
      <c r="O77" s="11"/>
      <c r="P77" s="7">
        <v>4689.93</v>
      </c>
      <c r="Q77" s="2"/>
      <c r="R77" s="6">
        <f t="shared" si="49"/>
        <v>0.19837348235676294</v>
      </c>
      <c r="S77" s="2"/>
      <c r="T77" s="7">
        <v>36000</v>
      </c>
      <c r="U77" s="2"/>
      <c r="V77" s="6">
        <f t="shared" si="50"/>
        <v>2.6751717311630754E-2</v>
      </c>
      <c r="W77" s="2"/>
      <c r="X77" s="7">
        <f t="shared" si="51"/>
        <v>-31310.07</v>
      </c>
      <c r="Y77" s="2"/>
      <c r="Z77" s="6">
        <f t="shared" si="52"/>
        <v>-0.86972416666666663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1500</v>
      </c>
      <c r="I78" s="2"/>
      <c r="J78" s="6">
        <f t="shared" si="46"/>
        <v>6.5344102041349746E-3</v>
      </c>
      <c r="K78" s="2"/>
      <c r="L78" s="7">
        <f t="shared" si="47"/>
        <v>-1500</v>
      </c>
      <c r="M78" s="2"/>
      <c r="N78" s="6">
        <f t="shared" si="48"/>
        <v>-1</v>
      </c>
      <c r="O78" s="11"/>
      <c r="P78" s="7">
        <v>1031.07</v>
      </c>
      <c r="Q78" s="2"/>
      <c r="R78" s="6">
        <f t="shared" si="49"/>
        <v>4.3611940146993135E-2</v>
      </c>
      <c r="S78" s="2"/>
      <c r="T78" s="7">
        <v>13500</v>
      </c>
      <c r="U78" s="2"/>
      <c r="V78" s="6">
        <f t="shared" si="50"/>
        <v>1.0031893991861534E-2</v>
      </c>
      <c r="W78" s="2"/>
      <c r="X78" s="7">
        <f t="shared" si="51"/>
        <v>-12468.93</v>
      </c>
      <c r="Y78" s="2"/>
      <c r="Z78" s="6">
        <f t="shared" si="52"/>
        <v>-0.92362444444444447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2.1781367347116581E-3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19.7</v>
      </c>
      <c r="Q79" s="2"/>
      <c r="R79" s="6">
        <f t="shared" si="49"/>
        <v>8.3326565693480064E-4</v>
      </c>
      <c r="S79" s="2"/>
      <c r="T79" s="7">
        <v>4500</v>
      </c>
      <c r="U79" s="2"/>
      <c r="V79" s="6">
        <f t="shared" si="50"/>
        <v>3.3439646639538442E-3</v>
      </c>
      <c r="W79" s="2"/>
      <c r="X79" s="7">
        <f t="shared" si="51"/>
        <v>-4480.3</v>
      </c>
      <c r="Y79" s="2"/>
      <c r="Z79" s="6">
        <f t="shared" si="52"/>
        <v>-0.9956222222222223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500</v>
      </c>
      <c r="I80" s="2"/>
      <c r="J80" s="6">
        <f t="shared" si="46"/>
        <v>2.1781367347116581E-3</v>
      </c>
      <c r="K80" s="2"/>
      <c r="L80" s="7">
        <f t="shared" si="47"/>
        <v>-500</v>
      </c>
      <c r="M80" s="2"/>
      <c r="N80" s="6">
        <f t="shared" si="48"/>
        <v>-1</v>
      </c>
      <c r="O80" s="11"/>
      <c r="P80" s="7">
        <v>3009.55</v>
      </c>
      <c r="Q80" s="2"/>
      <c r="R80" s="6">
        <f t="shared" si="49"/>
        <v>0.12729719075269691</v>
      </c>
      <c r="S80" s="2"/>
      <c r="T80" s="7">
        <v>4500</v>
      </c>
      <c r="U80" s="2"/>
      <c r="V80" s="6">
        <f t="shared" si="50"/>
        <v>3.3439646639538442E-3</v>
      </c>
      <c r="W80" s="2"/>
      <c r="X80" s="7">
        <f t="shared" si="51"/>
        <v>-1490.4499999999998</v>
      </c>
      <c r="Y80" s="2"/>
      <c r="Z80" s="6">
        <f t="shared" si="52"/>
        <v>-0.33121111111111107</v>
      </c>
    </row>
    <row r="81" spans="1:26" s="24" customFormat="1" hidden="1" outlineLevel="2" x14ac:dyDescent="0.25">
      <c r="A81" s="26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5"/>
        <v>0</v>
      </c>
      <c r="G81" s="2"/>
      <c r="H81" s="7">
        <v>100</v>
      </c>
      <c r="I81" s="2"/>
      <c r="J81" s="6">
        <f t="shared" si="46"/>
        <v>4.3562734694233164E-4</v>
      </c>
      <c r="K81" s="2"/>
      <c r="L81" s="7">
        <f t="shared" si="47"/>
        <v>-100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900</v>
      </c>
      <c r="U81" s="2"/>
      <c r="V81" s="6">
        <f t="shared" si="50"/>
        <v>6.6879293279076886E-4</v>
      </c>
      <c r="W81" s="2"/>
      <c r="X81" s="7">
        <f t="shared" si="51"/>
        <v>-900</v>
      </c>
      <c r="Y81" s="2"/>
      <c r="Z81" s="6">
        <f t="shared" si="52"/>
        <v>-1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5"/>
        <v>0</v>
      </c>
      <c r="G82" s="2"/>
      <c r="H82" s="7">
        <v>150</v>
      </c>
      <c r="I82" s="2"/>
      <c r="J82" s="6">
        <f t="shared" si="46"/>
        <v>6.5344102041349744E-4</v>
      </c>
      <c r="K82" s="2"/>
      <c r="L82" s="7">
        <f t="shared" si="47"/>
        <v>-150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1350</v>
      </c>
      <c r="U82" s="2"/>
      <c r="V82" s="6">
        <f t="shared" si="50"/>
        <v>1.0031893991861534E-3</v>
      </c>
      <c r="W82" s="2"/>
      <c r="X82" s="7">
        <f t="shared" si="51"/>
        <v>-1350</v>
      </c>
      <c r="Y82" s="2"/>
      <c r="Z82" s="6">
        <f t="shared" si="52"/>
        <v>-1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/>
      <c r="Q83" s="2"/>
      <c r="R83" s="6">
        <f t="shared" si="49"/>
        <v>0</v>
      </c>
      <c r="S83" s="2"/>
      <c r="T83" s="7">
        <v>6000</v>
      </c>
      <c r="U83" s="2"/>
      <c r="V83" s="6">
        <f t="shared" si="50"/>
        <v>4.4586195519384589E-3</v>
      </c>
      <c r="W83" s="2"/>
      <c r="X83" s="7">
        <f t="shared" si="51"/>
        <v>-6000</v>
      </c>
      <c r="Y83" s="2"/>
      <c r="Z83" s="6">
        <f t="shared" si="52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89</v>
      </c>
      <c r="E84" s="1"/>
      <c r="F84" s="5">
        <f t="shared" ref="F84:F87" si="53">IF(D$12=0,0,D84/D$12)</f>
        <v>0</v>
      </c>
      <c r="G84" s="1"/>
      <c r="H84" s="1">
        <f>SUM(OSRRefH22_14x_0)</f>
        <v>175</v>
      </c>
      <c r="I84" s="1"/>
      <c r="J84" s="5">
        <f t="shared" ref="J84:J87" si="54">IF(H$12=0,0,H84/H$12)</f>
        <v>7.6234785714908036E-4</v>
      </c>
      <c r="K84" s="1"/>
      <c r="L84" s="1">
        <f t="shared" ref="L84:L87" si="55">+D84-H84</f>
        <v>-86</v>
      </c>
      <c r="M84" s="1"/>
      <c r="N84" s="5">
        <f t="shared" ref="N84:N87" si="56">IF(H84=0,0,L84/H84)</f>
        <v>-0.49142857142857144</v>
      </c>
      <c r="O84" s="13"/>
      <c r="P84" s="1">
        <f>SUM(OSRRefP22_14x_0)</f>
        <v>1187</v>
      </c>
      <c r="Q84" s="1"/>
      <c r="R84" s="5">
        <f t="shared" ref="R84:R87" si="57">IF(P$12=0,0,P84/P$12)</f>
        <v>5.0207428161502962E-2</v>
      </c>
      <c r="S84" s="1"/>
      <c r="T84" s="1">
        <f>SUM(OSRRefT22_14x_0)</f>
        <v>1575</v>
      </c>
      <c r="U84" s="1"/>
      <c r="V84" s="5">
        <f t="shared" ref="V84:V87" si="58">IF(T$12=0,0,T84/T$12)</f>
        <v>1.1703876323838455E-3</v>
      </c>
      <c r="W84" s="1"/>
      <c r="X84" s="1">
        <f t="shared" ref="X84:X87" si="59">+P84-T84</f>
        <v>-388</v>
      </c>
      <c r="Y84" s="1"/>
      <c r="Z84" s="5">
        <f t="shared" ref="Z84:Z87" si="60">IF(T84=0,0,X84/T84)</f>
        <v>-0.24634920634920635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89</v>
      </c>
      <c r="E85" s="2"/>
      <c r="F85" s="6">
        <f t="shared" si="53"/>
        <v>0</v>
      </c>
      <c r="G85" s="2"/>
      <c r="H85" s="7">
        <v>175</v>
      </c>
      <c r="I85" s="2"/>
      <c r="J85" s="6">
        <f t="shared" si="54"/>
        <v>7.6234785714908036E-4</v>
      </c>
      <c r="K85" s="2"/>
      <c r="L85" s="7">
        <f t="shared" si="55"/>
        <v>-86</v>
      </c>
      <c r="M85" s="2"/>
      <c r="N85" s="6">
        <f t="shared" si="56"/>
        <v>-0.49142857142857144</v>
      </c>
      <c r="O85" s="11"/>
      <c r="P85" s="7">
        <v>1187</v>
      </c>
      <c r="Q85" s="2"/>
      <c r="R85" s="6">
        <f t="shared" si="57"/>
        <v>5.0207428161502962E-2</v>
      </c>
      <c r="S85" s="2"/>
      <c r="T85" s="7">
        <v>1575</v>
      </c>
      <c r="U85" s="2"/>
      <c r="V85" s="6">
        <f t="shared" si="58"/>
        <v>1.1703876323838455E-3</v>
      </c>
      <c r="W85" s="2"/>
      <c r="X85" s="7">
        <f t="shared" si="59"/>
        <v>-388</v>
      </c>
      <c r="Y85" s="2"/>
      <c r="Z85" s="6">
        <f t="shared" si="60"/>
        <v>-0.24634920634920635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3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1500</v>
      </c>
      <c r="U86" s="1"/>
      <c r="V86" s="5">
        <f t="shared" si="58"/>
        <v>1.1146548879846147E-3</v>
      </c>
      <c r="W86" s="1"/>
      <c r="X86" s="1">
        <f t="shared" si="59"/>
        <v>-1500</v>
      </c>
      <c r="Y86" s="1"/>
      <c r="Z86" s="5">
        <f t="shared" si="60"/>
        <v>-1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/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/>
      <c r="Q87" s="2"/>
      <c r="R87" s="6">
        <f t="shared" si="57"/>
        <v>0</v>
      </c>
      <c r="S87" s="2"/>
      <c r="T87" s="7">
        <v>1500</v>
      </c>
      <c r="U87" s="2"/>
      <c r="V87" s="6">
        <f t="shared" si="58"/>
        <v>1.1146548879846147E-3</v>
      </c>
      <c r="W87" s="2"/>
      <c r="X87" s="7">
        <f t="shared" si="59"/>
        <v>-1500</v>
      </c>
      <c r="Y87" s="2"/>
      <c r="Z87" s="6">
        <f t="shared" si="60"/>
        <v>-1</v>
      </c>
    </row>
    <row r="88" spans="1:26" s="59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277</v>
      </c>
      <c r="C91" s="29"/>
      <c r="D91" s="20">
        <f>+D23-D25+D89</f>
        <v>-47743.71</v>
      </c>
      <c r="E91" s="14"/>
      <c r="F91" s="21">
        <f>IF(D$12=0,0,D91/D$12)</f>
        <v>0</v>
      </c>
      <c r="G91" s="14"/>
      <c r="H91" s="20">
        <f>+H23-H25+H89</f>
        <v>37712.495769230765</v>
      </c>
      <c r="I91" s="14"/>
      <c r="J91" s="21">
        <f>IF(H$12=0,0,H91/H$12)</f>
        <v>0.16428594478523906</v>
      </c>
      <c r="K91" s="16"/>
      <c r="L91" s="20">
        <f>+D91-H91</f>
        <v>-85456.205769230757</v>
      </c>
      <c r="M91" s="16"/>
      <c r="N91" s="21">
        <f>IF(H91=0,0,L91/H91)</f>
        <v>-2.2659917893568209</v>
      </c>
      <c r="O91" s="28"/>
      <c r="P91" s="20">
        <f>+P23-P25+P89</f>
        <v>-464041.48999999993</v>
      </c>
      <c r="Q91" s="14"/>
      <c r="R91" s="21">
        <f>IF(P$12=0,0,P91/P$12)</f>
        <v>-19.6279105081144</v>
      </c>
      <c r="S91" s="14"/>
      <c r="T91" s="20">
        <f>+T23-T25+T89</f>
        <v>-165846.16594500002</v>
      </c>
      <c r="U91" s="14"/>
      <c r="V91" s="21">
        <f>IF(T$12=0,0,T91/T$12)</f>
        <v>-0.12324082634940121</v>
      </c>
      <c r="W91" s="16"/>
      <c r="X91" s="20">
        <f>+P91-T91</f>
        <v>-298195.32405499992</v>
      </c>
      <c r="Y91" s="16"/>
      <c r="Z91" s="21">
        <f>IF(T91=0,0,X91/T91)</f>
        <v>1.7980236224085591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>
        <v>190.45</v>
      </c>
      <c r="E93" s="4"/>
      <c r="F93" s="12">
        <f>IF(D$12=0,0,D93/D$12)</f>
        <v>0</v>
      </c>
      <c r="G93" s="4"/>
      <c r="H93" s="4">
        <v>46020</v>
      </c>
      <c r="I93" s="4"/>
      <c r="J93" s="12">
        <f>IF(H$12=0,0,H93/H$12)</f>
        <v>0.20047570506286103</v>
      </c>
      <c r="K93" s="4"/>
      <c r="L93" s="4">
        <f>+D93-H93</f>
        <v>-45829.55</v>
      </c>
      <c r="M93" s="4"/>
      <c r="N93" s="12">
        <f>IF(H93=0,0,L93/H93)</f>
        <v>-0.99586158192090402</v>
      </c>
      <c r="O93" s="10"/>
      <c r="P93" s="4">
        <v>4872.3999999999996</v>
      </c>
      <c r="Q93" s="4"/>
      <c r="R93" s="12">
        <f>IF(P$12=0,0,P93/P$12)</f>
        <v>0.20609155263193513</v>
      </c>
      <c r="S93" s="4"/>
      <c r="T93" s="4">
        <v>237974</v>
      </c>
      <c r="U93" s="4"/>
      <c r="V93" s="12">
        <f>IF(T$12=0,0,T93/T$12)</f>
        <v>0.17683925487550048</v>
      </c>
      <c r="W93" s="4"/>
      <c r="X93" s="4">
        <f>+P93-T93</f>
        <v>-233101.6</v>
      </c>
      <c r="Y93" s="4"/>
      <c r="Z93" s="12">
        <f>IF(T93=0,0,X93/T93)</f>
        <v>-0.97952549438173919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126</v>
      </c>
      <c r="C95" s="29"/>
      <c r="D95" s="34">
        <f>+D91-D93</f>
        <v>-47934.159999999996</v>
      </c>
      <c r="E95" s="14"/>
      <c r="F95" s="30">
        <f>IF(D$12=0,0,D95/D$12)</f>
        <v>0</v>
      </c>
      <c r="G95" s="14"/>
      <c r="H95" s="34">
        <f>+H91-H93</f>
        <v>-8307.5042307692347</v>
      </c>
      <c r="I95" s="14"/>
      <c r="J95" s="30">
        <f>IF(H$12=0,0,H95/H$12)</f>
        <v>-3.6189760277621975E-2</v>
      </c>
      <c r="K95" s="16"/>
      <c r="L95" s="34">
        <f>D95-H95</f>
        <v>-39626.655769230762</v>
      </c>
      <c r="M95" s="16"/>
      <c r="N95" s="30">
        <f>IF(H95=0,0,L95/H95)</f>
        <v>4.769983218601566</v>
      </c>
      <c r="O95" s="28"/>
      <c r="P95" s="34">
        <f>+P91-P93</f>
        <v>-468913.88999999996</v>
      </c>
      <c r="Q95" s="14"/>
      <c r="R95" s="30">
        <f>IF(P$12=0,0,P95/P$12)</f>
        <v>-19.834002060746336</v>
      </c>
      <c r="S95" s="14"/>
      <c r="T95" s="34">
        <f>+T91-T93</f>
        <v>-403820.16594500002</v>
      </c>
      <c r="U95" s="14"/>
      <c r="V95" s="30">
        <f>IF(T$12=0,0,T95/T$12)</f>
        <v>-0.30008008122490171</v>
      </c>
      <c r="W95" s="16"/>
      <c r="X95" s="34">
        <f>P95-T95</f>
        <v>-65093.724054999941</v>
      </c>
      <c r="Y95" s="16"/>
      <c r="Z95" s="30">
        <f>IF(T95=0,0,X95/T95)</f>
        <v>0.16119483261236056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294</v>
      </c>
      <c r="C98" s="29"/>
      <c r="D98" s="31">
        <f>SUM(D95:D97)</f>
        <v>-47934.159999999996</v>
      </c>
      <c r="E98" s="14"/>
      <c r="F98" s="35">
        <f>IF(D$12=0,0,D98/D$12)</f>
        <v>0</v>
      </c>
      <c r="G98" s="14"/>
      <c r="H98" s="31">
        <f>SUM(H95:H97)</f>
        <v>-8307.5042307692347</v>
      </c>
      <c r="I98" s="14"/>
      <c r="J98" s="35">
        <f>IF(H$12=0,0,H98/H$12)</f>
        <v>-3.6189760277621975E-2</v>
      </c>
      <c r="K98" s="16"/>
      <c r="L98" s="31">
        <f>+D98-H98</f>
        <v>-39626.655769230762</v>
      </c>
      <c r="M98" s="16"/>
      <c r="N98" s="35">
        <f>IF(H98=0,0,L98/H98)</f>
        <v>4.769983218601566</v>
      </c>
      <c r="O98" s="28"/>
      <c r="P98" s="31">
        <f>SUM(P95:P97)</f>
        <v>-468913.88999999996</v>
      </c>
      <c r="Q98" s="14"/>
      <c r="R98" s="35">
        <f>IF(P$12=0,0,P98/P$12)</f>
        <v>-19.834002060746336</v>
      </c>
      <c r="S98" s="14"/>
      <c r="T98" s="31">
        <f>SUM(T95:T97)</f>
        <v>-403820.16594500002</v>
      </c>
      <c r="U98" s="14"/>
      <c r="V98" s="35">
        <f>IF(T$12=0,0,T98/T$12)</f>
        <v>-0.30008008122490171</v>
      </c>
      <c r="W98" s="16"/>
      <c r="X98" s="31">
        <f>+P98-T98</f>
        <v>-65093.724054999941</v>
      </c>
      <c r="Y98" s="16"/>
      <c r="Z98" s="35">
        <f>IF(T98=0,0,X98/T98)</f>
        <v>0.16119483261236056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>
        <v>44295.961797766206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3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108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295</v>
      </c>
      <c r="C18" s="10"/>
      <c r="D18" s="22">
        <f>SUM(OSRRefD22x_0)</f>
        <v>0</v>
      </c>
      <c r="E18" s="22"/>
      <c r="F18" s="32">
        <f t="shared" ref="F18:F20" si="0">IF(D$12=0,0,D18/D$12)</f>
        <v>0</v>
      </c>
      <c r="G18" s="22"/>
      <c r="H18" s="22">
        <f>SUM(OSRRefH22x_0)</f>
        <v>0</v>
      </c>
      <c r="I18" s="22"/>
      <c r="J18" s="32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2">
        <f t="shared" ref="N18:N20" si="3">IF(H18=0,0,L18/H18)</f>
        <v>0</v>
      </c>
      <c r="O18" s="10"/>
      <c r="P18" s="22">
        <f>SUM(OSRRefP22x_0)</f>
        <v>178.69</v>
      </c>
      <c r="Q18" s="22"/>
      <c r="R18" s="32">
        <f t="shared" ref="R18:R20" si="4">IF(P$12=0,0,P18/P$12)</f>
        <v>0</v>
      </c>
      <c r="S18" s="22"/>
      <c r="T18" s="22">
        <f>SUM(OSRRefT22x_0)</f>
        <v>0</v>
      </c>
      <c r="U18" s="22"/>
      <c r="V18" s="32">
        <f t="shared" ref="V18:V20" si="5">IF(T$12=0,0,T18/T$12)</f>
        <v>0</v>
      </c>
      <c r="W18" s="4"/>
      <c r="X18" s="22">
        <f t="shared" ref="X18:X20" si="6">+P18-T18</f>
        <v>178.69</v>
      </c>
      <c r="Y18" s="4"/>
      <c r="Z18" s="32">
        <f t="shared" ref="Z18:Z20" si="7">IF(T18=0,0,X18/T18)</f>
        <v>0</v>
      </c>
    </row>
    <row r="19" spans="1:26" s="25" customFormat="1" outlineLevel="1" collapsed="1" x14ac:dyDescent="0.25">
      <c r="A19" s="27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59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277</v>
      </c>
      <c r="C24" s="29"/>
      <c r="D24" s="20">
        <f>+D16-D18+D22</f>
        <v>0</v>
      </c>
      <c r="E24" s="14"/>
      <c r="F24" s="21">
        <f>IF(D$12=0,0,D24/D$12)</f>
        <v>0</v>
      </c>
      <c r="G24" s="14"/>
      <c r="H24" s="20">
        <f>+H16-H18+H22</f>
        <v>0</v>
      </c>
      <c r="I24" s="14"/>
      <c r="J24" s="21">
        <f>IF(H$12=0,0,H24/H$12)</f>
        <v>0</v>
      </c>
      <c r="K24" s="16"/>
      <c r="L24" s="20">
        <f>+D24-H24</f>
        <v>0</v>
      </c>
      <c r="M24" s="16"/>
      <c r="N24" s="21">
        <f>IF(H24=0,0,L24/H24)</f>
        <v>0</v>
      </c>
      <c r="O24" s="28"/>
      <c r="P24" s="20">
        <f>+P16-P18+P22</f>
        <v>-178.69</v>
      </c>
      <c r="Q24" s="14"/>
      <c r="R24" s="21">
        <f>IF(P$12=0,0,P24/P$12)</f>
        <v>0</v>
      </c>
      <c r="S24" s="14"/>
      <c r="T24" s="20">
        <f>+T16-T18+T22</f>
        <v>0</v>
      </c>
      <c r="U24" s="14"/>
      <c r="V24" s="21">
        <f>IF(T$12=0,0,T24/T$12)</f>
        <v>0</v>
      </c>
      <c r="W24" s="16"/>
      <c r="X24" s="20">
        <f>+P24-T24</f>
        <v>-178.69</v>
      </c>
      <c r="Y24" s="16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126</v>
      </c>
      <c r="C28" s="29"/>
      <c r="D28" s="34">
        <f>+D24-D26</f>
        <v>0</v>
      </c>
      <c r="E28" s="14"/>
      <c r="F28" s="30">
        <f>IF(D$12=0,0,D28/D$12)</f>
        <v>0</v>
      </c>
      <c r="G28" s="14"/>
      <c r="H28" s="34">
        <f>+H24-H26</f>
        <v>0</v>
      </c>
      <c r="I28" s="14"/>
      <c r="J28" s="30">
        <f>IF(H$12=0,0,H28/H$12)</f>
        <v>0</v>
      </c>
      <c r="K28" s="16"/>
      <c r="L28" s="34">
        <f>D28-H28</f>
        <v>0</v>
      </c>
      <c r="M28" s="16"/>
      <c r="N28" s="30">
        <f>IF(H28=0,0,L28/H28)</f>
        <v>0</v>
      </c>
      <c r="O28" s="28"/>
      <c r="P28" s="34">
        <f>+P24-P26</f>
        <v>-178.69</v>
      </c>
      <c r="Q28" s="14"/>
      <c r="R28" s="30">
        <f>IF(P$12=0,0,P28/P$12)</f>
        <v>0</v>
      </c>
      <c r="S28" s="14"/>
      <c r="T28" s="34">
        <f>+T24-T26</f>
        <v>0</v>
      </c>
      <c r="U28" s="14"/>
      <c r="V28" s="30">
        <f>IF(T$12=0,0,T28/T$12)</f>
        <v>0</v>
      </c>
      <c r="W28" s="16"/>
      <c r="X28" s="34">
        <f>P28-T28</f>
        <v>-178.69</v>
      </c>
      <c r="Y28" s="16"/>
      <c r="Z28" s="30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294</v>
      </c>
      <c r="C31" s="29"/>
      <c r="D31" s="31">
        <f>SUM(D28:D30)</f>
        <v>0</v>
      </c>
      <c r="E31" s="14"/>
      <c r="F31" s="35">
        <f>IF(D$12=0,0,D31/D$12)</f>
        <v>0</v>
      </c>
      <c r="G31" s="14"/>
      <c r="H31" s="31">
        <f>SUM(H28:H30)</f>
        <v>0</v>
      </c>
      <c r="I31" s="14"/>
      <c r="J31" s="35">
        <f>IF(H$12=0,0,H31/H$12)</f>
        <v>0</v>
      </c>
      <c r="K31" s="16"/>
      <c r="L31" s="31">
        <f>+D31-H31</f>
        <v>0</v>
      </c>
      <c r="M31" s="16"/>
      <c r="N31" s="35">
        <f>IF(H31=0,0,L31/H31)</f>
        <v>0</v>
      </c>
      <c r="O31" s="28"/>
      <c r="P31" s="31">
        <f>SUM(P28:P30)</f>
        <v>-178.69</v>
      </c>
      <c r="Q31" s="14"/>
      <c r="R31" s="35">
        <f>IF(P$12=0,0,P31/P$12)</f>
        <v>0</v>
      </c>
      <c r="S31" s="14"/>
      <c r="T31" s="31">
        <f>SUM(T28:T30)</f>
        <v>0</v>
      </c>
      <c r="U31" s="14"/>
      <c r="V31" s="35">
        <f>IF(T$12=0,0,T31/T$12)</f>
        <v>0</v>
      </c>
      <c r="W31" s="16"/>
      <c r="X31" s="31">
        <f>+P31-T31</f>
        <v>-178.69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44295.961797766206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91796.739999999991</v>
      </c>
      <c r="E12" s="4"/>
      <c r="F12" s="12"/>
      <c r="G12" s="4"/>
      <c r="H12" s="4">
        <f>SUM(OSRRefH13x_0)</f>
        <v>207341</v>
      </c>
      <c r="I12" s="4"/>
      <c r="J12" s="12"/>
      <c r="K12" s="4"/>
      <c r="L12" s="4">
        <f t="shared" ref="L12:L16" si="0">+D12-H12</f>
        <v>-115544.26000000001</v>
      </c>
      <c r="M12" s="4"/>
      <c r="N12" s="12">
        <f t="shared" ref="N12:N16" si="1">IF(H12=0,0,L12/H12)</f>
        <v>-0.55726682132332728</v>
      </c>
      <c r="O12" s="10"/>
      <c r="P12" s="4">
        <f>SUM(OSRRefP13x_0)</f>
        <v>827548.19</v>
      </c>
      <c r="Q12" s="4"/>
      <c r="R12" s="12"/>
      <c r="S12" s="4"/>
      <c r="T12" s="4">
        <f>SUM(OSRRefT13x_0)</f>
        <v>1344989</v>
      </c>
      <c r="U12" s="4"/>
      <c r="V12" s="12"/>
      <c r="W12" s="4"/>
      <c r="X12" s="4">
        <f t="shared" ref="X12:X16" si="2">+P12-T12</f>
        <v>-517440.81000000006</v>
      </c>
      <c r="Y12" s="4"/>
      <c r="Z12" s="12">
        <f t="shared" ref="Z12:Z16" si="3">IF(T12=0,0,X12/T12)</f>
        <v>-0.38471750326582599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--163.51</f>
        <v>163.51</v>
      </c>
      <c r="E13" s="2"/>
      <c r="F13" s="19"/>
      <c r="G13" s="2"/>
      <c r="H13" s="2"/>
      <c r="I13" s="2"/>
      <c r="J13" s="19"/>
      <c r="K13" s="2"/>
      <c r="L13" s="2">
        <f t="shared" si="0"/>
        <v>163.51</v>
      </c>
      <c r="M13" s="2"/>
      <c r="N13" s="19">
        <f t="shared" si="1"/>
        <v>0</v>
      </c>
      <c r="O13" s="11"/>
      <c r="P13" s="2">
        <f>--706.07</f>
        <v>706.07</v>
      </c>
      <c r="Q13" s="2"/>
      <c r="R13" s="19"/>
      <c r="S13" s="2"/>
      <c r="T13" s="2"/>
      <c r="U13" s="2"/>
      <c r="V13" s="19"/>
      <c r="W13" s="2"/>
      <c r="X13" s="2">
        <f t="shared" si="2"/>
        <v>706.07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207341</v>
      </c>
      <c r="I14" s="2"/>
      <c r="J14" s="19"/>
      <c r="K14" s="2"/>
      <c r="L14" s="2">
        <f t="shared" si="0"/>
        <v>-207341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1344989</v>
      </c>
      <c r="U14" s="2"/>
      <c r="V14" s="19"/>
      <c r="W14" s="2"/>
      <c r="X14" s="2">
        <f t="shared" si="2"/>
        <v>-1344989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--86462.44</f>
        <v>86462.44</v>
      </c>
      <c r="E15" s="2"/>
      <c r="F15" s="19"/>
      <c r="G15" s="2"/>
      <c r="H15" s="2"/>
      <c r="I15" s="2"/>
      <c r="J15" s="19"/>
      <c r="K15" s="2"/>
      <c r="L15" s="2">
        <f t="shared" si="0"/>
        <v>86462.44</v>
      </c>
      <c r="M15" s="2"/>
      <c r="N15" s="19">
        <f t="shared" si="1"/>
        <v>0</v>
      </c>
      <c r="O15" s="11"/>
      <c r="P15" s="2">
        <f>--791165.03</f>
        <v>791165.03</v>
      </c>
      <c r="Q15" s="2"/>
      <c r="R15" s="19"/>
      <c r="S15" s="2"/>
      <c r="T15" s="2"/>
      <c r="U15" s="2"/>
      <c r="V15" s="19"/>
      <c r="W15" s="2"/>
      <c r="X15" s="2">
        <f t="shared" si="2"/>
        <v>791165.03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--5170.79</f>
        <v>5170.79</v>
      </c>
      <c r="E16" s="2"/>
      <c r="F16" s="19"/>
      <c r="G16" s="2"/>
      <c r="H16" s="2"/>
      <c r="I16" s="2"/>
      <c r="J16" s="19"/>
      <c r="K16" s="2"/>
      <c r="L16" s="2">
        <f t="shared" si="0"/>
        <v>5170.79</v>
      </c>
      <c r="M16" s="2"/>
      <c r="N16" s="19">
        <f t="shared" si="1"/>
        <v>0</v>
      </c>
      <c r="O16" s="11"/>
      <c r="P16" s="2">
        <f>--35677.09</f>
        <v>35677.089999999997</v>
      </c>
      <c r="Q16" s="2"/>
      <c r="R16" s="19"/>
      <c r="S16" s="2"/>
      <c r="T16" s="2"/>
      <c r="U16" s="2"/>
      <c r="V16" s="19"/>
      <c r="W16" s="2"/>
      <c r="X16" s="2">
        <f t="shared" si="2"/>
        <v>35677.089999999997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257</v>
      </c>
      <c r="C18" s="10"/>
      <c r="D18" s="4">
        <f>SUM(OSRRefD16x_0)</f>
        <v>43894.04</v>
      </c>
      <c r="E18" s="4"/>
      <c r="F18" s="12">
        <f t="shared" ref="F18:F21" si="4">IF(D$12=0,0,D18/D$12)</f>
        <v>0.47816556448518766</v>
      </c>
      <c r="G18" s="4"/>
      <c r="H18" s="4">
        <f>SUM(OSRRefH16x_0)</f>
        <v>58056</v>
      </c>
      <c r="I18" s="4"/>
      <c r="J18" s="12">
        <f t="shared" ref="J18:J21" si="5">IF(H$12=0,0,H18/H$12)</f>
        <v>0.28000250794584763</v>
      </c>
      <c r="K18" s="4"/>
      <c r="L18" s="4">
        <f t="shared" ref="L18:L21" si="6">+D18-H18</f>
        <v>-14161.96</v>
      </c>
      <c r="M18" s="4"/>
      <c r="N18" s="12">
        <f t="shared" ref="N18:N21" si="7">IF(H18=0,0,L18/H18)</f>
        <v>-0.24393619953148682</v>
      </c>
      <c r="O18" s="10"/>
      <c r="P18" s="4">
        <f>SUM(OSRRefP16x_0)</f>
        <v>343660.45</v>
      </c>
      <c r="Q18" s="4"/>
      <c r="R18" s="12">
        <f t="shared" ref="R18:R21" si="8">IF(P$12=0,0,P18/P$12)</f>
        <v>0.41527545362645291</v>
      </c>
      <c r="S18" s="4"/>
      <c r="T18" s="4">
        <f>SUM(OSRRefT16x_0)</f>
        <v>360500</v>
      </c>
      <c r="U18" s="4"/>
      <c r="V18" s="12">
        <f t="shared" ref="V18:V21" si="9">IF(T$12=0,0,T18/T$12)</f>
        <v>0.26803193185966578</v>
      </c>
      <c r="W18" s="4"/>
      <c r="X18" s="4">
        <f t="shared" ref="X18:X21" si="10">+P18-T18</f>
        <v>-16839.549999999988</v>
      </c>
      <c r="Y18" s="4"/>
      <c r="Z18" s="12">
        <f t="shared" ref="Z18:Z21" si="11">IF(T18=0,0,X18/T18)</f>
        <v>-4.6711650485436858E-2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58056</v>
      </c>
      <c r="I19" s="2"/>
      <c r="J19" s="19">
        <f t="shared" si="5"/>
        <v>0.28000250794584763</v>
      </c>
      <c r="K19" s="2"/>
      <c r="L19" s="2">
        <f t="shared" si="6"/>
        <v>-58056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360500</v>
      </c>
      <c r="U19" s="2"/>
      <c r="V19" s="19">
        <f t="shared" si="9"/>
        <v>0.26803193185966578</v>
      </c>
      <c r="W19" s="2"/>
      <c r="X19" s="2">
        <f t="shared" si="10"/>
        <v>-360500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38259.040000000001</v>
      </c>
      <c r="E20" s="2"/>
      <c r="F20" s="19">
        <f t="shared" si="4"/>
        <v>0.41677994229424709</v>
      </c>
      <c r="G20" s="2"/>
      <c r="H20" s="2"/>
      <c r="I20" s="2"/>
      <c r="J20" s="19">
        <f t="shared" si="5"/>
        <v>0</v>
      </c>
      <c r="K20" s="2"/>
      <c r="L20" s="2">
        <f t="shared" si="6"/>
        <v>38259.040000000001</v>
      </c>
      <c r="M20" s="2"/>
      <c r="N20" s="19">
        <f t="shared" si="7"/>
        <v>0</v>
      </c>
      <c r="O20" s="11"/>
      <c r="P20" s="2">
        <v>358847.15</v>
      </c>
      <c r="Q20" s="2"/>
      <c r="R20" s="19">
        <f t="shared" si="8"/>
        <v>0.43362689247136177</v>
      </c>
      <c r="S20" s="2"/>
      <c r="T20" s="2"/>
      <c r="U20" s="2"/>
      <c r="V20" s="19">
        <f t="shared" si="9"/>
        <v>0</v>
      </c>
      <c r="W20" s="2"/>
      <c r="X20" s="2">
        <f t="shared" si="10"/>
        <v>358847.15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5635</v>
      </c>
      <c r="E21" s="2"/>
      <c r="F21" s="19">
        <f t="shared" si="4"/>
        <v>6.1385622190940556E-2</v>
      </c>
      <c r="G21" s="2"/>
      <c r="H21" s="2"/>
      <c r="I21" s="2"/>
      <c r="J21" s="19">
        <f t="shared" si="5"/>
        <v>0</v>
      </c>
      <c r="K21" s="2"/>
      <c r="L21" s="2">
        <f t="shared" si="6"/>
        <v>5635</v>
      </c>
      <c r="M21" s="2"/>
      <c r="N21" s="19">
        <f t="shared" si="7"/>
        <v>0</v>
      </c>
      <c r="O21" s="11"/>
      <c r="P21" s="2">
        <v>-15186.7</v>
      </c>
      <c r="Q21" s="2"/>
      <c r="R21" s="19">
        <f t="shared" si="8"/>
        <v>-1.8351438844908842E-2</v>
      </c>
      <c r="S21" s="2"/>
      <c r="T21" s="2"/>
      <c r="U21" s="2"/>
      <c r="V21" s="19">
        <f t="shared" si="9"/>
        <v>0</v>
      </c>
      <c r="W21" s="2"/>
      <c r="X21" s="2">
        <f t="shared" si="10"/>
        <v>-15186.7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108</v>
      </c>
      <c r="C23" s="29"/>
      <c r="D23" s="20">
        <f>D12-D18</f>
        <v>47902.69999999999</v>
      </c>
      <c r="E23" s="14"/>
      <c r="F23" s="21">
        <f>IF(D$12=0,0,D23/D$12)</f>
        <v>0.52183443551481234</v>
      </c>
      <c r="G23" s="14"/>
      <c r="H23" s="20">
        <f>H12-H18</f>
        <v>149285</v>
      </c>
      <c r="I23" s="14"/>
      <c r="J23" s="21">
        <f>IF(H$12=0,0,H23/H$12)</f>
        <v>0.71999749205415231</v>
      </c>
      <c r="K23" s="16"/>
      <c r="L23" s="20">
        <f>+D23-H23</f>
        <v>-101382.30000000002</v>
      </c>
      <c r="M23" s="16"/>
      <c r="N23" s="21">
        <f>IF(H23=0,0,L23/H23)</f>
        <v>-0.67911913454131367</v>
      </c>
      <c r="O23" s="28"/>
      <c r="P23" s="20">
        <f>P12-P18</f>
        <v>483887.73999999993</v>
      </c>
      <c r="Q23" s="14"/>
      <c r="R23" s="21">
        <f>IF(P$12=0,0,P23/P$12)</f>
        <v>0.58472454637354709</v>
      </c>
      <c r="S23" s="14"/>
      <c r="T23" s="20">
        <f>T12-T18</f>
        <v>984489</v>
      </c>
      <c r="U23" s="14"/>
      <c r="V23" s="21">
        <f>IF(T$12=0,0,T23/T$12)</f>
        <v>0.73196806814033422</v>
      </c>
      <c r="W23" s="16"/>
      <c r="X23" s="20">
        <f>+P23-T23</f>
        <v>-500601.26000000007</v>
      </c>
      <c r="Y23" s="16"/>
      <c r="Z23" s="21">
        <f>IF(T23=0,0,X23/T23)</f>
        <v>-0.50848842394379223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295</v>
      </c>
      <c r="C25" s="10"/>
      <c r="D25" s="22">
        <f>SUM(OSRRefD22x_0)</f>
        <v>116953.97</v>
      </c>
      <c r="E25" s="22"/>
      <c r="F25" s="32">
        <f t="shared" ref="F25:F36" si="12">IF(D$12=0,0,D25/D$12)</f>
        <v>1.2740536319699372</v>
      </c>
      <c r="G25" s="22"/>
      <c r="H25" s="22">
        <f>SUM(OSRRefH22x_0)</f>
        <v>129185.5490277693</v>
      </c>
      <c r="I25" s="22"/>
      <c r="J25" s="32">
        <f t="shared" ref="J25:J36" si="13">IF(H$12=0,0,H25/H$12)</f>
        <v>0.62305838704245331</v>
      </c>
      <c r="K25" s="4"/>
      <c r="L25" s="22">
        <f t="shared" ref="L25:L36" si="14">+D25-H25</f>
        <v>-12231.579027769301</v>
      </c>
      <c r="M25" s="4"/>
      <c r="N25" s="32">
        <f t="shared" ref="N25:N36" si="15">IF(H25=0,0,L25/H25)</f>
        <v>-9.4682254476776195E-2</v>
      </c>
      <c r="O25" s="10"/>
      <c r="P25" s="22">
        <f>SUM(OSRRefP22x_0)</f>
        <v>1036285.3200000001</v>
      </c>
      <c r="Q25" s="22"/>
      <c r="R25" s="32">
        <f t="shared" ref="R25:R36" si="16">IF(P$12=0,0,P25/P$12)</f>
        <v>1.2522356190519854</v>
      </c>
      <c r="S25" s="22"/>
      <c r="T25" s="22">
        <f>SUM(OSRRefT22x_0)</f>
        <v>1138447.16139175</v>
      </c>
      <c r="U25" s="22"/>
      <c r="V25" s="32">
        <f t="shared" ref="V25:V36" si="17">IF(T$12=0,0,T25/T$12)</f>
        <v>0.84643603880161844</v>
      </c>
      <c r="W25" s="4"/>
      <c r="X25" s="22">
        <f t="shared" ref="X25:X36" si="18">+P25-T25</f>
        <v>-102161.84139174991</v>
      </c>
      <c r="Y25" s="4"/>
      <c r="Z25" s="32">
        <f t="shared" ref="Z25:Z36" si="19">IF(T25=0,0,X25/T25)</f>
        <v>-8.9737885829375877E-2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31027.86</v>
      </c>
      <c r="E26" s="1"/>
      <c r="F26" s="5">
        <f t="shared" si="12"/>
        <v>0.33800612091453358</v>
      </c>
      <c r="G26" s="1"/>
      <c r="H26" s="1">
        <f>SUM(OSRRefH22_0x_0)</f>
        <v>35348.699746230792</v>
      </c>
      <c r="I26" s="1"/>
      <c r="J26" s="5">
        <f t="shared" si="13"/>
        <v>0.17048581682460676</v>
      </c>
      <c r="K26" s="1"/>
      <c r="L26" s="1">
        <f t="shared" si="14"/>
        <v>-4320.8397462307912</v>
      </c>
      <c r="M26" s="1"/>
      <c r="N26" s="5">
        <f t="shared" si="15"/>
        <v>-0.12223475763607174</v>
      </c>
      <c r="O26" s="13"/>
      <c r="P26" s="1">
        <f>SUM(OSRRefP22_0x_0)</f>
        <v>276985.28999999998</v>
      </c>
      <c r="Q26" s="1"/>
      <c r="R26" s="5">
        <f t="shared" si="16"/>
        <v>0.33470593416438987</v>
      </c>
      <c r="S26" s="1"/>
      <c r="T26" s="1">
        <f>SUM(OSRRefT22_0x_0)</f>
        <v>334753.82155674999</v>
      </c>
      <c r="U26" s="1"/>
      <c r="V26" s="5">
        <f t="shared" si="17"/>
        <v>0.2488896351990611</v>
      </c>
      <c r="W26" s="1"/>
      <c r="X26" s="1">
        <f t="shared" si="18"/>
        <v>-57768.531556750007</v>
      </c>
      <c r="Y26" s="1"/>
      <c r="Z26" s="5">
        <f t="shared" si="19"/>
        <v>-0.17257019289011061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3344.8</v>
      </c>
      <c r="E27" s="2"/>
      <c r="F27" s="6">
        <f t="shared" si="12"/>
        <v>3.6437023798448619E-2</v>
      </c>
      <c r="G27" s="2"/>
      <c r="H27" s="7">
        <v>3171.7882047692301</v>
      </c>
      <c r="I27" s="2"/>
      <c r="J27" s="6">
        <f t="shared" si="13"/>
        <v>1.5297448188101871E-2</v>
      </c>
      <c r="K27" s="2"/>
      <c r="L27" s="7">
        <f t="shared" si="14"/>
        <v>173.01179523077008</v>
      </c>
      <c r="M27" s="2"/>
      <c r="N27" s="6">
        <f t="shared" si="15"/>
        <v>5.4547083241756965E-2</v>
      </c>
      <c r="O27" s="11"/>
      <c r="P27" s="7">
        <v>31466.33</v>
      </c>
      <c r="Q27" s="2"/>
      <c r="R27" s="6">
        <f t="shared" si="16"/>
        <v>3.8023562108207863E-2</v>
      </c>
      <c r="S27" s="2"/>
      <c r="T27" s="7">
        <v>31654.954666500002</v>
      </c>
      <c r="U27" s="2"/>
      <c r="V27" s="6">
        <f t="shared" si="17"/>
        <v>2.3535474763362377E-2</v>
      </c>
      <c r="W27" s="2"/>
      <c r="X27" s="7">
        <f t="shared" si="18"/>
        <v>-188.62466649999988</v>
      </c>
      <c r="Y27" s="2"/>
      <c r="Z27" s="6">
        <f t="shared" si="19"/>
        <v>-5.958772283430838E-3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2358.86</v>
      </c>
      <c r="E28" s="2"/>
      <c r="F28" s="6">
        <f t="shared" si="12"/>
        <v>2.569655523714677E-2</v>
      </c>
      <c r="G28" s="2"/>
      <c r="H28" s="7">
        <v>2722.3197473999999</v>
      </c>
      <c r="I28" s="2"/>
      <c r="J28" s="6">
        <f t="shared" si="13"/>
        <v>1.3129674050959529E-2</v>
      </c>
      <c r="K28" s="2"/>
      <c r="L28" s="7">
        <f t="shared" si="14"/>
        <v>-363.45974739999974</v>
      </c>
      <c r="M28" s="2"/>
      <c r="N28" s="6">
        <f t="shared" si="15"/>
        <v>-0.13351104246557682</v>
      </c>
      <c r="O28" s="11"/>
      <c r="P28" s="7">
        <v>22044.080000000002</v>
      </c>
      <c r="Q28" s="2"/>
      <c r="R28" s="6">
        <f t="shared" si="16"/>
        <v>2.6637820330439009E-2</v>
      </c>
      <c r="S28" s="2"/>
      <c r="T28" s="7">
        <v>24446.756140950001</v>
      </c>
      <c r="U28" s="2"/>
      <c r="V28" s="6">
        <f t="shared" si="17"/>
        <v>1.8176175523331419E-2</v>
      </c>
      <c r="W28" s="2"/>
      <c r="X28" s="7">
        <f t="shared" si="18"/>
        <v>-2402.6761409499995</v>
      </c>
      <c r="Y28" s="2"/>
      <c r="Z28" s="6">
        <f t="shared" si="19"/>
        <v>-9.8282002205002217E-2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17691.580000000002</v>
      </c>
      <c r="E29" s="2"/>
      <c r="F29" s="6">
        <f t="shared" si="12"/>
        <v>0.19272558045089622</v>
      </c>
      <c r="G29" s="2"/>
      <c r="H29" s="7">
        <v>19569.615384615401</v>
      </c>
      <c r="I29" s="2"/>
      <c r="J29" s="6">
        <f t="shared" si="13"/>
        <v>9.438372239265462E-2</v>
      </c>
      <c r="K29" s="2"/>
      <c r="L29" s="7">
        <f t="shared" si="14"/>
        <v>-1878.0353846153994</v>
      </c>
      <c r="M29" s="2"/>
      <c r="N29" s="6">
        <f t="shared" si="15"/>
        <v>-9.5966903166212023E-2</v>
      </c>
      <c r="O29" s="11"/>
      <c r="P29" s="7">
        <v>156078.54</v>
      </c>
      <c r="Q29" s="2"/>
      <c r="R29" s="6">
        <f t="shared" si="16"/>
        <v>0.18860356639774659</v>
      </c>
      <c r="S29" s="2"/>
      <c r="T29" s="7">
        <v>185310</v>
      </c>
      <c r="U29" s="2"/>
      <c r="V29" s="6">
        <f t="shared" si="17"/>
        <v>0.13777807848242626</v>
      </c>
      <c r="W29" s="2"/>
      <c r="X29" s="7">
        <f t="shared" si="18"/>
        <v>-29231.459999999992</v>
      </c>
      <c r="Y29" s="2"/>
      <c r="Z29" s="6">
        <f t="shared" si="19"/>
        <v>-0.15774356483729962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147.01</v>
      </c>
      <c r="E30" s="2"/>
      <c r="F30" s="6">
        <f t="shared" si="12"/>
        <v>1.6014729934853897E-3</v>
      </c>
      <c r="G30" s="2"/>
      <c r="H30" s="7">
        <v>164.98907560000001</v>
      </c>
      <c r="I30" s="2"/>
      <c r="J30" s="6">
        <f t="shared" si="13"/>
        <v>7.9573782127027458E-4</v>
      </c>
      <c r="K30" s="2"/>
      <c r="L30" s="7">
        <f t="shared" si="14"/>
        <v>-17.979075600000016</v>
      </c>
      <c r="M30" s="2"/>
      <c r="N30" s="6">
        <f t="shared" si="15"/>
        <v>-0.10897130937074002</v>
      </c>
      <c r="O30" s="11"/>
      <c r="P30" s="7">
        <v>1415.26</v>
      </c>
      <c r="Q30" s="2"/>
      <c r="R30" s="6">
        <f t="shared" si="16"/>
        <v>1.7101843942163659E-3</v>
      </c>
      <c r="S30" s="2"/>
      <c r="T30" s="7">
        <v>1481.6215843</v>
      </c>
      <c r="U30" s="2"/>
      <c r="V30" s="6">
        <f t="shared" si="17"/>
        <v>1.1015863953534192E-3</v>
      </c>
      <c r="W30" s="2"/>
      <c r="X30" s="7">
        <f t="shared" si="18"/>
        <v>-66.361584300000004</v>
      </c>
      <c r="Y30" s="2"/>
      <c r="Z30" s="6">
        <f t="shared" si="19"/>
        <v>-4.4789833654693204E-2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1457.5</v>
      </c>
      <c r="E31" s="2"/>
      <c r="F31" s="6">
        <f t="shared" si="12"/>
        <v>1.5877470158526329E-2</v>
      </c>
      <c r="G31" s="2"/>
      <c r="H31" s="7">
        <v>1778.4998461538501</v>
      </c>
      <c r="I31" s="2"/>
      <c r="J31" s="6">
        <f t="shared" si="13"/>
        <v>8.5776563542852118E-3</v>
      </c>
      <c r="K31" s="2"/>
      <c r="L31" s="7">
        <f t="shared" si="14"/>
        <v>-320.99984615385006</v>
      </c>
      <c r="M31" s="2"/>
      <c r="N31" s="6">
        <f t="shared" si="15"/>
        <v>-0.18048910538172844</v>
      </c>
      <c r="O31" s="11"/>
      <c r="P31" s="7">
        <v>14641.56</v>
      </c>
      <c r="Q31" s="2"/>
      <c r="R31" s="6">
        <f t="shared" si="16"/>
        <v>1.7692697750930977E-2</v>
      </c>
      <c r="S31" s="2"/>
      <c r="T31" s="7">
        <v>17340.373500000002</v>
      </c>
      <c r="U31" s="2"/>
      <c r="V31" s="6">
        <f t="shared" si="17"/>
        <v>1.289257644486312E-2</v>
      </c>
      <c r="W31" s="2"/>
      <c r="X31" s="7">
        <f t="shared" si="18"/>
        <v>-2698.813500000002</v>
      </c>
      <c r="Y31" s="2"/>
      <c r="Z31" s="6">
        <f t="shared" si="19"/>
        <v>-0.1556375645541892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719.11</v>
      </c>
      <c r="E33" s="2"/>
      <c r="F33" s="6">
        <f t="shared" si="12"/>
        <v>7.8337204567395322E-3</v>
      </c>
      <c r="G33" s="2"/>
      <c r="H33" s="7"/>
      <c r="I33" s="2"/>
      <c r="J33" s="6">
        <f t="shared" si="13"/>
        <v>0</v>
      </c>
      <c r="K33" s="2"/>
      <c r="L33" s="7">
        <f t="shared" si="14"/>
        <v>719.11</v>
      </c>
      <c r="M33" s="2"/>
      <c r="N33" s="6">
        <f t="shared" si="15"/>
        <v>0</v>
      </c>
      <c r="O33" s="11"/>
      <c r="P33" s="7">
        <v>4936.6099999999997</v>
      </c>
      <c r="Q33" s="2"/>
      <c r="R33" s="6">
        <f t="shared" si="16"/>
        <v>5.9653444471916492E-3</v>
      </c>
      <c r="S33" s="2"/>
      <c r="T33" s="7"/>
      <c r="U33" s="2"/>
      <c r="V33" s="6">
        <f t="shared" si="17"/>
        <v>0</v>
      </c>
      <c r="W33" s="2"/>
      <c r="X33" s="7">
        <f t="shared" si="18"/>
        <v>4936.6099999999997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2606.96</v>
      </c>
      <c r="E34" s="2"/>
      <c r="F34" s="6">
        <f t="shared" si="12"/>
        <v>2.8399265594834851E-2</v>
      </c>
      <c r="G34" s="2"/>
      <c r="H34" s="7">
        <v>3283.8667692307699</v>
      </c>
      <c r="I34" s="2"/>
      <c r="J34" s="6">
        <f t="shared" si="13"/>
        <v>1.5838000054165698E-2</v>
      </c>
      <c r="K34" s="2"/>
      <c r="L34" s="7">
        <f t="shared" si="14"/>
        <v>-676.9067692307699</v>
      </c>
      <c r="M34" s="2"/>
      <c r="N34" s="6">
        <f t="shared" si="15"/>
        <v>-0.20613100859427744</v>
      </c>
      <c r="O34" s="11"/>
      <c r="P34" s="7">
        <v>23853.82</v>
      </c>
      <c r="Q34" s="2"/>
      <c r="R34" s="6">
        <f t="shared" si="16"/>
        <v>2.8824689955517881E-2</v>
      </c>
      <c r="S34" s="2"/>
      <c r="T34" s="7">
        <v>32017.701000000001</v>
      </c>
      <c r="U34" s="2"/>
      <c r="V34" s="6">
        <f t="shared" si="17"/>
        <v>2.3805176845312491E-2</v>
      </c>
      <c r="W34" s="2"/>
      <c r="X34" s="7">
        <f t="shared" si="18"/>
        <v>-8163.8810000000012</v>
      </c>
      <c r="Y34" s="2"/>
      <c r="Z34" s="6">
        <f t="shared" si="19"/>
        <v>-0.25498023733809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1633.22</v>
      </c>
      <c r="E35" s="2"/>
      <c r="F35" s="6">
        <f t="shared" si="12"/>
        <v>1.7791699356643823E-2</v>
      </c>
      <c r="G35" s="2"/>
      <c r="H35" s="7">
        <v>2732.62071846154</v>
      </c>
      <c r="I35" s="2"/>
      <c r="J35" s="6">
        <f t="shared" si="13"/>
        <v>1.3179355354037746E-2</v>
      </c>
      <c r="K35" s="2"/>
      <c r="L35" s="7">
        <f t="shared" si="14"/>
        <v>-1099.40071846154</v>
      </c>
      <c r="M35" s="2"/>
      <c r="N35" s="6">
        <f t="shared" si="15"/>
        <v>-0.40232466622023577</v>
      </c>
      <c r="O35" s="11"/>
      <c r="P35" s="7">
        <v>14965.42</v>
      </c>
      <c r="Q35" s="2"/>
      <c r="R35" s="6">
        <f t="shared" si="16"/>
        <v>1.8084046561687241E-2</v>
      </c>
      <c r="S35" s="2"/>
      <c r="T35" s="7">
        <v>25177.414665</v>
      </c>
      <c r="U35" s="2"/>
      <c r="V35" s="6">
        <f t="shared" si="17"/>
        <v>1.8719420504554312E-2</v>
      </c>
      <c r="W35" s="2"/>
      <c r="X35" s="7">
        <f t="shared" si="18"/>
        <v>-10211.994665</v>
      </c>
      <c r="Y35" s="2"/>
      <c r="Z35" s="6">
        <f t="shared" si="19"/>
        <v>-0.40560140113178694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1068.82</v>
      </c>
      <c r="E36" s="2"/>
      <c r="F36" s="6">
        <f t="shared" si="12"/>
        <v>1.1643332867812082E-2</v>
      </c>
      <c r="G36" s="2"/>
      <c r="H36" s="7">
        <v>1925</v>
      </c>
      <c r="I36" s="2"/>
      <c r="J36" s="6">
        <f t="shared" si="13"/>
        <v>9.2842226091318161E-3</v>
      </c>
      <c r="K36" s="2"/>
      <c r="L36" s="7">
        <f t="shared" si="14"/>
        <v>-856.18000000000006</v>
      </c>
      <c r="M36" s="2"/>
      <c r="N36" s="6">
        <f t="shared" si="15"/>
        <v>-0.4447688311688312</v>
      </c>
      <c r="O36" s="11"/>
      <c r="P36" s="7">
        <v>7583.67</v>
      </c>
      <c r="Q36" s="2"/>
      <c r="R36" s="6">
        <f t="shared" si="16"/>
        <v>9.1640222184523178E-3</v>
      </c>
      <c r="S36" s="2"/>
      <c r="T36" s="7">
        <v>17325</v>
      </c>
      <c r="U36" s="2"/>
      <c r="V36" s="6">
        <f t="shared" si="17"/>
        <v>1.2881146239857724E-2</v>
      </c>
      <c r="W36" s="2"/>
      <c r="X36" s="7">
        <f t="shared" si="18"/>
        <v>-9741.33</v>
      </c>
      <c r="Y36" s="2"/>
      <c r="Z36" s="6">
        <f t="shared" si="19"/>
        <v>-0.56227012987012992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54784.21</v>
      </c>
      <c r="E37" s="1"/>
      <c r="F37" s="5">
        <f t="shared" ref="F37:F47" si="20">IF(D$12=0,0,D37/D$12)</f>
        <v>0.59679908022877504</v>
      </c>
      <c r="G37" s="1"/>
      <c r="H37" s="1">
        <f>SUM(OSRRefH22_1x_0)</f>
        <v>57440.849281538496</v>
      </c>
      <c r="I37" s="1"/>
      <c r="J37" s="5">
        <f t="shared" ref="J37:J47" si="21">IF(H$12=0,0,H37/H$12)</f>
        <v>0.27703565277267156</v>
      </c>
      <c r="K37" s="1"/>
      <c r="L37" s="1">
        <f t="shared" ref="L37:L47" si="22">+D37-H37</f>
        <v>-2656.639281538497</v>
      </c>
      <c r="M37" s="1"/>
      <c r="N37" s="5">
        <f t="shared" ref="N37:N47" si="23">IF(H37=0,0,L37/H37)</f>
        <v>-4.6250000039472633E-2</v>
      </c>
      <c r="O37" s="13"/>
      <c r="P37" s="1">
        <f>SUM(OSRRefP22_1x_0)</f>
        <v>484184.99</v>
      </c>
      <c r="Q37" s="1"/>
      <c r="R37" s="5">
        <f t="shared" ref="R37:R47" si="24">IF(P$12=0,0,P37/P$12)</f>
        <v>0.5850837399571861</v>
      </c>
      <c r="S37" s="1"/>
      <c r="T37" s="1">
        <f>SUM(OSRRefT22_1x_0)</f>
        <v>512659.33983500005</v>
      </c>
      <c r="U37" s="1"/>
      <c r="V37" s="5">
        <f t="shared" ref="V37:V47" si="25">IF(T$12=0,0,T37/T$12)</f>
        <v>0.38116247778606371</v>
      </c>
      <c r="W37" s="1"/>
      <c r="X37" s="1">
        <f t="shared" ref="X37:X47" si="26">+P37-T37</f>
        <v>-28474.349835000059</v>
      </c>
      <c r="Y37" s="1"/>
      <c r="Z37" s="5">
        <f t="shared" ref="Z37:Z47" si="27">IF(T37=0,0,X37/T37)</f>
        <v>-5.5542438462477944E-2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14347.27</v>
      </c>
      <c r="E39" s="2"/>
      <c r="F39" s="6">
        <f t="shared" si="20"/>
        <v>0.15629389453263812</v>
      </c>
      <c r="G39" s="2"/>
      <c r="H39" s="7">
        <v>17815.8884615385</v>
      </c>
      <c r="I39" s="2"/>
      <c r="J39" s="6">
        <f t="shared" si="21"/>
        <v>8.5925545172148773E-2</v>
      </c>
      <c r="K39" s="2"/>
      <c r="L39" s="7">
        <f t="shared" si="22"/>
        <v>-3468.6184615384991</v>
      </c>
      <c r="M39" s="2"/>
      <c r="N39" s="6">
        <f t="shared" si="23"/>
        <v>-0.19469242126356268</v>
      </c>
      <c r="O39" s="11"/>
      <c r="P39" s="7">
        <v>137079.89000000001</v>
      </c>
      <c r="Q39" s="2"/>
      <c r="R39" s="6">
        <f t="shared" si="24"/>
        <v>0.1656458097020308</v>
      </c>
      <c r="S39" s="2"/>
      <c r="T39" s="7">
        <v>173704.91250000001</v>
      </c>
      <c r="U39" s="2"/>
      <c r="V39" s="6">
        <f t="shared" si="25"/>
        <v>0.1291496900718147</v>
      </c>
      <c r="W39" s="2"/>
      <c r="X39" s="7">
        <f t="shared" si="26"/>
        <v>-36625.022499999992</v>
      </c>
      <c r="Y39" s="2"/>
      <c r="Z39" s="6">
        <f t="shared" si="27"/>
        <v>-0.21084621023599429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17885.939999999999</v>
      </c>
      <c r="E41" s="2"/>
      <c r="F41" s="6">
        <f t="shared" si="20"/>
        <v>0.19484286696891415</v>
      </c>
      <c r="G41" s="2"/>
      <c r="H41" s="7">
        <v>18273.024000000001</v>
      </c>
      <c r="I41" s="2"/>
      <c r="J41" s="6">
        <f t="shared" si="21"/>
        <v>8.8130297432731597E-2</v>
      </c>
      <c r="K41" s="2"/>
      <c r="L41" s="7">
        <f t="shared" si="22"/>
        <v>-387.08400000000256</v>
      </c>
      <c r="M41" s="2"/>
      <c r="N41" s="6">
        <f t="shared" si="23"/>
        <v>-2.1183357500105211E-2</v>
      </c>
      <c r="O41" s="11"/>
      <c r="P41" s="7">
        <v>140441.98000000001</v>
      </c>
      <c r="Q41" s="2"/>
      <c r="R41" s="6">
        <f t="shared" si="24"/>
        <v>0.16970852174783926</v>
      </c>
      <c r="S41" s="2"/>
      <c r="T41" s="7">
        <v>178161.984</v>
      </c>
      <c r="U41" s="2"/>
      <c r="V41" s="6">
        <f t="shared" si="25"/>
        <v>0.13246352498050171</v>
      </c>
      <c r="W41" s="2"/>
      <c r="X41" s="7">
        <f t="shared" si="26"/>
        <v>-37720.003999999986</v>
      </c>
      <c r="Y41" s="2"/>
      <c r="Z41" s="6">
        <f t="shared" si="27"/>
        <v>-0.21171746717863216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>
        <v>8953.15</v>
      </c>
      <c r="E42" s="2"/>
      <c r="F42" s="6">
        <f t="shared" si="20"/>
        <v>9.7532330668823317E-2</v>
      </c>
      <c r="G42" s="2"/>
      <c r="H42" s="7">
        <v>6584.2688200000002</v>
      </c>
      <c r="I42" s="2"/>
      <c r="J42" s="6">
        <f t="shared" si="21"/>
        <v>3.1755749321166579E-2</v>
      </c>
      <c r="K42" s="2"/>
      <c r="L42" s="7">
        <f t="shared" si="22"/>
        <v>2368.8811799999994</v>
      </c>
      <c r="M42" s="2"/>
      <c r="N42" s="6">
        <f t="shared" si="23"/>
        <v>0.35977892834575964</v>
      </c>
      <c r="O42" s="11"/>
      <c r="P42" s="7">
        <v>89359.19</v>
      </c>
      <c r="Q42" s="2"/>
      <c r="R42" s="6">
        <f t="shared" si="24"/>
        <v>0.10798064823270292</v>
      </c>
      <c r="S42" s="2"/>
      <c r="T42" s="7">
        <v>49157.568335000004</v>
      </c>
      <c r="U42" s="2"/>
      <c r="V42" s="6">
        <f t="shared" si="25"/>
        <v>3.6548676855349752E-2</v>
      </c>
      <c r="W42" s="2"/>
      <c r="X42" s="7">
        <f t="shared" si="26"/>
        <v>40201.621664999999</v>
      </c>
      <c r="Y42" s="2"/>
      <c r="Z42" s="6">
        <f t="shared" si="27"/>
        <v>0.8178114383330185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>
        <v>717.96</v>
      </c>
      <c r="E43" s="2"/>
      <c r="F43" s="6">
        <f t="shared" si="20"/>
        <v>7.8211927787413815E-3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717.96</v>
      </c>
      <c r="M43" s="2"/>
      <c r="N43" s="6">
        <f t="shared" si="23"/>
        <v>0</v>
      </c>
      <c r="O43" s="11"/>
      <c r="P43" s="7">
        <v>1326.96</v>
      </c>
      <c r="Q43" s="2"/>
      <c r="R43" s="6">
        <f t="shared" si="24"/>
        <v>1.6034836593624838E-3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1326.96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12879.89</v>
      </c>
      <c r="E44" s="2"/>
      <c r="F44" s="6">
        <f t="shared" si="20"/>
        <v>0.14030879527965809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12879.89</v>
      </c>
      <c r="M44" s="2"/>
      <c r="N44" s="6">
        <f t="shared" si="23"/>
        <v>0</v>
      </c>
      <c r="O44" s="11"/>
      <c r="P44" s="7">
        <v>105346.09</v>
      </c>
      <c r="Q44" s="2"/>
      <c r="R44" s="6">
        <f t="shared" si="24"/>
        <v>0.12729903982993426</v>
      </c>
      <c r="S44" s="2"/>
      <c r="T44" s="7">
        <v>9252.83</v>
      </c>
      <c r="U44" s="2"/>
      <c r="V44" s="6">
        <f t="shared" si="25"/>
        <v>6.87948377272974E-3</v>
      </c>
      <c r="W44" s="2"/>
      <c r="X44" s="7">
        <f t="shared" si="26"/>
        <v>96093.26</v>
      </c>
      <c r="Y44" s="2"/>
      <c r="Z44" s="6">
        <f t="shared" si="27"/>
        <v>10.385283205246395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14767.668</v>
      </c>
      <c r="I45" s="2"/>
      <c r="J45" s="6">
        <f t="shared" si="21"/>
        <v>7.1224060846624637E-2</v>
      </c>
      <c r="K45" s="2"/>
      <c r="L45" s="7">
        <f t="shared" si="22"/>
        <v>-14767.668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1.2846236785316394E-2</v>
      </c>
      <c r="S45" s="2"/>
      <c r="T45" s="7">
        <v>102382.045</v>
      </c>
      <c r="U45" s="2"/>
      <c r="V45" s="6">
        <f t="shared" si="25"/>
        <v>7.6121102105667776E-2</v>
      </c>
      <c r="W45" s="2"/>
      <c r="X45" s="7">
        <f t="shared" si="26"/>
        <v>-91751.164999999994</v>
      </c>
      <c r="Y45" s="2"/>
      <c r="Z45" s="6">
        <f t="shared" si="27"/>
        <v>-0.89616460581540436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70" si="28">IF(D$12=0,0,D48/D$12)</f>
        <v>0</v>
      </c>
      <c r="G48" s="1"/>
      <c r="H48" s="1">
        <f>SUM(OSRRefH22_2x_0)</f>
        <v>369</v>
      </c>
      <c r="I48" s="1"/>
      <c r="J48" s="5">
        <f t="shared" ref="J48:J70" si="29">IF(H$12=0,0,H48/H$12)</f>
        <v>1.77967695728293E-3</v>
      </c>
      <c r="K48" s="1"/>
      <c r="L48" s="1">
        <f t="shared" ref="L48:L70" si="30">+D48-H48</f>
        <v>-369</v>
      </c>
      <c r="M48" s="1"/>
      <c r="N48" s="5">
        <f t="shared" ref="N48:N70" si="31">IF(H48=0,0,L48/H48)</f>
        <v>-1</v>
      </c>
      <c r="O48" s="13"/>
      <c r="P48" s="1">
        <f>SUM(OSRRefP22_2x_0)</f>
        <v>1240.42</v>
      </c>
      <c r="Q48" s="1"/>
      <c r="R48" s="5">
        <f t="shared" ref="R48:R70" si="32">IF(P$12=0,0,P48/P$12)</f>
        <v>1.4989096888726205E-3</v>
      </c>
      <c r="S48" s="1"/>
      <c r="T48" s="1">
        <f>SUM(OSRRefT22_2x_0)</f>
        <v>3321</v>
      </c>
      <c r="U48" s="1"/>
      <c r="V48" s="5">
        <f t="shared" ref="V48:V70" si="33">IF(T$12=0,0,T48/T$12)</f>
        <v>2.4691651753285713E-3</v>
      </c>
      <c r="W48" s="1"/>
      <c r="X48" s="1">
        <f t="shared" ref="X48:X70" si="34">+P48-T48</f>
        <v>-2080.58</v>
      </c>
      <c r="Y48" s="1"/>
      <c r="Z48" s="5">
        <f t="shared" ref="Z48:Z70" si="35">IF(T48=0,0,X48/T48)</f>
        <v>-0.62649202047576025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369</v>
      </c>
      <c r="I49" s="2"/>
      <c r="J49" s="6">
        <f t="shared" si="29"/>
        <v>1.77967695728293E-3</v>
      </c>
      <c r="K49" s="2"/>
      <c r="L49" s="7">
        <f t="shared" si="30"/>
        <v>-369</v>
      </c>
      <c r="M49" s="2"/>
      <c r="N49" s="6">
        <f t="shared" si="31"/>
        <v>-1</v>
      </c>
      <c r="O49" s="11"/>
      <c r="P49" s="7">
        <v>1240.42</v>
      </c>
      <c r="Q49" s="2"/>
      <c r="R49" s="6">
        <f t="shared" si="32"/>
        <v>1.4989096888726205E-3</v>
      </c>
      <c r="S49" s="2"/>
      <c r="T49" s="7">
        <v>3321</v>
      </c>
      <c r="U49" s="2"/>
      <c r="V49" s="6">
        <f t="shared" si="33"/>
        <v>2.4691651753285713E-3</v>
      </c>
      <c r="W49" s="2"/>
      <c r="X49" s="7">
        <f t="shared" si="34"/>
        <v>-2080.58</v>
      </c>
      <c r="Y49" s="2"/>
      <c r="Z49" s="6">
        <f t="shared" si="35"/>
        <v>-0.62649202047576025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3.8583782271716642E-5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23.8</v>
      </c>
      <c r="Q50" s="1"/>
      <c r="R50" s="5">
        <f t="shared" si="32"/>
        <v>2.875965446797727E-5</v>
      </c>
      <c r="S50" s="1"/>
      <c r="T50" s="1">
        <f>SUM(OSRRefT22_3x_0)</f>
        <v>64</v>
      </c>
      <c r="U50" s="1"/>
      <c r="V50" s="5">
        <f t="shared" si="33"/>
        <v>4.7584032285765909E-5</v>
      </c>
      <c r="W50" s="1"/>
      <c r="X50" s="1">
        <f t="shared" si="34"/>
        <v>-40.200000000000003</v>
      </c>
      <c r="Y50" s="1"/>
      <c r="Z50" s="5">
        <f t="shared" si="35"/>
        <v>-0.62812500000000004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3.8583782271716642E-5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23.8</v>
      </c>
      <c r="Q51" s="2"/>
      <c r="R51" s="6">
        <f t="shared" si="32"/>
        <v>2.875965446797727E-5</v>
      </c>
      <c r="S51" s="2"/>
      <c r="T51" s="7">
        <v>64</v>
      </c>
      <c r="U51" s="2"/>
      <c r="V51" s="6">
        <f t="shared" si="33"/>
        <v>4.7584032285765909E-5</v>
      </c>
      <c r="W51" s="2"/>
      <c r="X51" s="7">
        <f t="shared" si="34"/>
        <v>-40.200000000000003</v>
      </c>
      <c r="Y51" s="2"/>
      <c r="Z51" s="6">
        <f t="shared" si="35"/>
        <v>-0.62812500000000004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78.08</v>
      </c>
      <c r="E52" s="1"/>
      <c r="F52" s="5">
        <f t="shared" si="28"/>
        <v>8.505748679092526E-4</v>
      </c>
      <c r="G52" s="1"/>
      <c r="H52" s="1">
        <f>SUM(OSRRefH22_4x_0)</f>
        <v>135</v>
      </c>
      <c r="I52" s="1"/>
      <c r="J52" s="5">
        <f t="shared" si="29"/>
        <v>6.5110132583521836E-4</v>
      </c>
      <c r="K52" s="1"/>
      <c r="L52" s="1">
        <f t="shared" si="30"/>
        <v>-56.92</v>
      </c>
      <c r="M52" s="1"/>
      <c r="N52" s="5">
        <f t="shared" si="31"/>
        <v>-0.42162962962962963</v>
      </c>
      <c r="O52" s="13"/>
      <c r="P52" s="1">
        <f>SUM(OSRRefP22_4x_0)</f>
        <v>267</v>
      </c>
      <c r="Q52" s="1"/>
      <c r="R52" s="5">
        <f t="shared" si="32"/>
        <v>3.2263982113235005E-4</v>
      </c>
      <c r="S52" s="1"/>
      <c r="T52" s="1">
        <f>SUM(OSRRefT22_4x_0)</f>
        <v>1215</v>
      </c>
      <c r="U52" s="1"/>
      <c r="V52" s="5">
        <f t="shared" si="33"/>
        <v>9.0335311292508711E-4</v>
      </c>
      <c r="W52" s="1"/>
      <c r="X52" s="1">
        <f t="shared" si="34"/>
        <v>-948</v>
      </c>
      <c r="Y52" s="1"/>
      <c r="Z52" s="5">
        <f t="shared" si="35"/>
        <v>-0.78024691358024689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78.08</v>
      </c>
      <c r="E53" s="2"/>
      <c r="F53" s="6">
        <f t="shared" si="28"/>
        <v>8.505748679092526E-4</v>
      </c>
      <c r="G53" s="2"/>
      <c r="H53" s="7">
        <v>135</v>
      </c>
      <c r="I53" s="2"/>
      <c r="J53" s="6">
        <f t="shared" si="29"/>
        <v>6.5110132583521836E-4</v>
      </c>
      <c r="K53" s="2"/>
      <c r="L53" s="7">
        <f t="shared" si="30"/>
        <v>-56.92</v>
      </c>
      <c r="M53" s="2"/>
      <c r="N53" s="6">
        <f t="shared" si="31"/>
        <v>-0.42162962962962963</v>
      </c>
      <c r="O53" s="11"/>
      <c r="P53" s="7">
        <v>267</v>
      </c>
      <c r="Q53" s="2"/>
      <c r="R53" s="6">
        <f t="shared" si="32"/>
        <v>3.2263982113235005E-4</v>
      </c>
      <c r="S53" s="2"/>
      <c r="T53" s="7">
        <v>1215</v>
      </c>
      <c r="U53" s="2"/>
      <c r="V53" s="6">
        <f t="shared" si="33"/>
        <v>9.0335311292508711E-4</v>
      </c>
      <c r="W53" s="2"/>
      <c r="X53" s="7">
        <f t="shared" si="34"/>
        <v>-948</v>
      </c>
      <c r="Y53" s="2"/>
      <c r="Z53" s="6">
        <f t="shared" si="35"/>
        <v>-0.78024691358024689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8"/>
        <v>2.9711294758397741E-3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3"/>
      <c r="P54" s="1">
        <f>SUM(OSRRefP22_5x_0)</f>
        <v>2190.44</v>
      </c>
      <c r="Q54" s="1"/>
      <c r="R54" s="5">
        <f t="shared" si="32"/>
        <v>2.6469032576821902E-3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2190.44</v>
      </c>
      <c r="Y54" s="1"/>
      <c r="Z54" s="5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2.9711294758397741E-3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2190.44</v>
      </c>
      <c r="Q55" s="2"/>
      <c r="R55" s="6">
        <f t="shared" si="32"/>
        <v>2.6469032576821902E-3</v>
      </c>
      <c r="S55" s="2"/>
      <c r="T55" s="7"/>
      <c r="U55" s="2"/>
      <c r="V55" s="6">
        <f t="shared" si="33"/>
        <v>0</v>
      </c>
      <c r="W55" s="2"/>
      <c r="X55" s="7">
        <f t="shared" si="34"/>
        <v>2190.44</v>
      </c>
      <c r="Y55" s="2"/>
      <c r="Z55" s="6">
        <f t="shared" si="35"/>
        <v>0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7337.33</v>
      </c>
      <c r="E56" s="1"/>
      <c r="F56" s="5">
        <f t="shared" si="28"/>
        <v>7.9930180527108055E-2</v>
      </c>
      <c r="G56" s="1"/>
      <c r="H56" s="1">
        <f>SUM(OSRRefH22_6x_0)</f>
        <v>3100</v>
      </c>
      <c r="I56" s="1"/>
      <c r="J56" s="5">
        <f t="shared" si="29"/>
        <v>1.4951215630290199E-2</v>
      </c>
      <c r="K56" s="1"/>
      <c r="L56" s="1">
        <f t="shared" si="30"/>
        <v>4237.33</v>
      </c>
      <c r="M56" s="1"/>
      <c r="N56" s="5">
        <f t="shared" si="31"/>
        <v>1.3668806451612903</v>
      </c>
      <c r="O56" s="13"/>
      <c r="P56" s="1">
        <f>SUM(OSRRefP22_6x_0)</f>
        <v>50979.76</v>
      </c>
      <c r="Q56" s="1"/>
      <c r="R56" s="5">
        <f t="shared" si="32"/>
        <v>6.1603373212622221E-2</v>
      </c>
      <c r="S56" s="1"/>
      <c r="T56" s="1">
        <f>SUM(OSRRefT22_6x_0)</f>
        <v>26800</v>
      </c>
      <c r="U56" s="1"/>
      <c r="V56" s="5">
        <f t="shared" si="33"/>
        <v>1.9925813519664472E-2</v>
      </c>
      <c r="W56" s="1"/>
      <c r="X56" s="1">
        <f t="shared" si="34"/>
        <v>24179.760000000002</v>
      </c>
      <c r="Y56" s="1"/>
      <c r="Z56" s="5">
        <f t="shared" si="35"/>
        <v>0.90222985074626871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>
        <v>7337.33</v>
      </c>
      <c r="E57" s="2"/>
      <c r="F57" s="6">
        <f t="shared" si="28"/>
        <v>7.9930180527108055E-2</v>
      </c>
      <c r="G57" s="2"/>
      <c r="H57" s="7">
        <v>3100</v>
      </c>
      <c r="I57" s="2"/>
      <c r="J57" s="6">
        <f t="shared" si="29"/>
        <v>1.4951215630290199E-2</v>
      </c>
      <c r="K57" s="2"/>
      <c r="L57" s="7">
        <f t="shared" si="30"/>
        <v>4237.33</v>
      </c>
      <c r="M57" s="2"/>
      <c r="N57" s="6">
        <f t="shared" si="31"/>
        <v>1.3668806451612903</v>
      </c>
      <c r="O57" s="11"/>
      <c r="P57" s="7">
        <v>50979.76</v>
      </c>
      <c r="Q57" s="2"/>
      <c r="R57" s="6">
        <f t="shared" si="32"/>
        <v>6.1603373212622221E-2</v>
      </c>
      <c r="S57" s="2"/>
      <c r="T57" s="7">
        <v>26800</v>
      </c>
      <c r="U57" s="2"/>
      <c r="V57" s="6">
        <f t="shared" si="33"/>
        <v>1.9925813519664472E-2</v>
      </c>
      <c r="W57" s="2"/>
      <c r="X57" s="7">
        <f t="shared" si="34"/>
        <v>24179.760000000002</v>
      </c>
      <c r="Y57" s="2"/>
      <c r="Z57" s="6">
        <f t="shared" si="35"/>
        <v>0.90222985074626871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7.2344591759468705E-4</v>
      </c>
      <c r="K58" s="1"/>
      <c r="L58" s="1">
        <f t="shared" si="30"/>
        <v>-150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1200</v>
      </c>
      <c r="U58" s="1"/>
      <c r="V58" s="5">
        <f t="shared" si="33"/>
        <v>8.9220060535811076E-4</v>
      </c>
      <c r="W58" s="1"/>
      <c r="X58" s="1">
        <f t="shared" si="34"/>
        <v>-1200</v>
      </c>
      <c r="Y58" s="1"/>
      <c r="Z58" s="5">
        <f t="shared" si="35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7.2344591759468705E-4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1200</v>
      </c>
      <c r="U59" s="2"/>
      <c r="V59" s="6">
        <f t="shared" si="33"/>
        <v>8.9220060535811076E-4</v>
      </c>
      <c r="W59" s="2"/>
      <c r="X59" s="7">
        <f t="shared" si="34"/>
        <v>-1200</v>
      </c>
      <c r="Y59" s="2"/>
      <c r="Z59" s="6">
        <f t="shared" si="35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508.47</v>
      </c>
      <c r="E60" s="1"/>
      <c r="F60" s="5">
        <f t="shared" si="28"/>
        <v>5.5390855927999194E-3</v>
      </c>
      <c r="G60" s="1"/>
      <c r="H60" s="1">
        <f>SUM(OSRRefH22_8x_0)</f>
        <v>290</v>
      </c>
      <c r="I60" s="1"/>
      <c r="J60" s="5">
        <f t="shared" si="29"/>
        <v>1.3986621073497282E-3</v>
      </c>
      <c r="K60" s="1"/>
      <c r="L60" s="1">
        <f t="shared" si="30"/>
        <v>218.47000000000003</v>
      </c>
      <c r="M60" s="1"/>
      <c r="N60" s="5">
        <f t="shared" si="31"/>
        <v>0.75334482758620702</v>
      </c>
      <c r="O60" s="13"/>
      <c r="P60" s="1">
        <f>SUM(OSRRefP22_8x_0)</f>
        <v>2611.79</v>
      </c>
      <c r="Q60" s="1"/>
      <c r="R60" s="5">
        <f t="shared" si="32"/>
        <v>3.1560578967612754E-3</v>
      </c>
      <c r="S60" s="1"/>
      <c r="T60" s="1">
        <f>SUM(OSRRefT22_8x_0)</f>
        <v>2610</v>
      </c>
      <c r="U60" s="1"/>
      <c r="V60" s="5">
        <f t="shared" si="33"/>
        <v>1.9405363166538909E-3</v>
      </c>
      <c r="W60" s="1"/>
      <c r="X60" s="1">
        <f t="shared" si="34"/>
        <v>1.7899999999999636</v>
      </c>
      <c r="Y60" s="1"/>
      <c r="Z60" s="5">
        <f t="shared" si="35"/>
        <v>6.8582375478925812E-4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508.47</v>
      </c>
      <c r="E61" s="2"/>
      <c r="F61" s="6">
        <f t="shared" si="28"/>
        <v>5.5390855927999194E-3</v>
      </c>
      <c r="G61" s="2"/>
      <c r="H61" s="7">
        <v>290</v>
      </c>
      <c r="I61" s="2"/>
      <c r="J61" s="6">
        <f t="shared" si="29"/>
        <v>1.3986621073497282E-3</v>
      </c>
      <c r="K61" s="2"/>
      <c r="L61" s="7">
        <f t="shared" si="30"/>
        <v>218.47000000000003</v>
      </c>
      <c r="M61" s="2"/>
      <c r="N61" s="6">
        <f t="shared" si="31"/>
        <v>0.75334482758620702</v>
      </c>
      <c r="O61" s="11"/>
      <c r="P61" s="7">
        <v>2611.79</v>
      </c>
      <c r="Q61" s="2"/>
      <c r="R61" s="6">
        <f t="shared" si="32"/>
        <v>3.1560578967612754E-3</v>
      </c>
      <c r="S61" s="2"/>
      <c r="T61" s="7">
        <v>2610</v>
      </c>
      <c r="U61" s="2"/>
      <c r="V61" s="6">
        <f t="shared" si="33"/>
        <v>1.9405363166538909E-3</v>
      </c>
      <c r="W61" s="2"/>
      <c r="X61" s="7">
        <f t="shared" si="34"/>
        <v>1.7899999999999636</v>
      </c>
      <c r="Y61" s="2"/>
      <c r="Z61" s="6">
        <f t="shared" si="35"/>
        <v>6.8582375478925812E-4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1.3022026516704367E-3</v>
      </c>
      <c r="K62" s="1"/>
      <c r="L62" s="1">
        <f t="shared" si="30"/>
        <v>-270</v>
      </c>
      <c r="M62" s="1"/>
      <c r="N62" s="5">
        <f t="shared" si="31"/>
        <v>-1</v>
      </c>
      <c r="O62" s="13"/>
      <c r="P62" s="1">
        <f>SUM(OSRRefP22_9x_0)</f>
        <v>1888.78</v>
      </c>
      <c r="Q62" s="1"/>
      <c r="R62" s="5">
        <f t="shared" si="32"/>
        <v>2.2823806792447942E-3</v>
      </c>
      <c r="S62" s="1"/>
      <c r="T62" s="1">
        <f>SUM(OSRRefT22_9x_0)</f>
        <v>3910</v>
      </c>
      <c r="U62" s="1"/>
      <c r="V62" s="5">
        <f t="shared" si="33"/>
        <v>2.907086972458511E-3</v>
      </c>
      <c r="W62" s="1"/>
      <c r="X62" s="1">
        <f t="shared" si="34"/>
        <v>-2021.22</v>
      </c>
      <c r="Y62" s="1"/>
      <c r="Z62" s="5">
        <f t="shared" si="35"/>
        <v>-0.51693606138107417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270</v>
      </c>
      <c r="I63" s="2"/>
      <c r="J63" s="6">
        <f t="shared" si="29"/>
        <v>1.3022026516704367E-3</v>
      </c>
      <c r="K63" s="2"/>
      <c r="L63" s="7">
        <f t="shared" si="30"/>
        <v>-270</v>
      </c>
      <c r="M63" s="2"/>
      <c r="N63" s="6">
        <f t="shared" si="31"/>
        <v>-1</v>
      </c>
      <c r="O63" s="11"/>
      <c r="P63" s="7">
        <v>1888.78</v>
      </c>
      <c r="Q63" s="2"/>
      <c r="R63" s="6">
        <f t="shared" si="32"/>
        <v>2.2823806792447942E-3</v>
      </c>
      <c r="S63" s="2"/>
      <c r="T63" s="7">
        <v>3910</v>
      </c>
      <c r="U63" s="2"/>
      <c r="V63" s="6">
        <f t="shared" si="33"/>
        <v>2.907086972458511E-3</v>
      </c>
      <c r="W63" s="2"/>
      <c r="X63" s="7">
        <f t="shared" si="34"/>
        <v>-2021.22</v>
      </c>
      <c r="Y63" s="2"/>
      <c r="Z63" s="6">
        <f t="shared" si="35"/>
        <v>-0.51693606138107417</v>
      </c>
    </row>
    <row r="64" spans="1:26" s="25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6756.75</v>
      </c>
      <c r="E64" s="1"/>
      <c r="F64" s="5">
        <f t="shared" si="28"/>
        <v>7.3605555055658842E-2</v>
      </c>
      <c r="G64" s="1"/>
      <c r="H64" s="1">
        <f>SUM(OSRRefH22_10x_0)</f>
        <v>16587</v>
      </c>
      <c r="I64" s="1"/>
      <c r="J64" s="5">
        <f t="shared" si="29"/>
        <v>7.9998649567620483E-2</v>
      </c>
      <c r="K64" s="1"/>
      <c r="L64" s="1">
        <f t="shared" si="30"/>
        <v>-9830.25</v>
      </c>
      <c r="M64" s="1"/>
      <c r="N64" s="5">
        <f t="shared" si="31"/>
        <v>-0.5926478567552903</v>
      </c>
      <c r="O64" s="13"/>
      <c r="P64" s="1">
        <f>SUM(OSRRefP22_10x_0)</f>
        <v>57113.25</v>
      </c>
      <c r="Q64" s="1"/>
      <c r="R64" s="5">
        <f t="shared" si="32"/>
        <v>6.9015014098453897E-2</v>
      </c>
      <c r="S64" s="1"/>
      <c r="T64" s="1">
        <f>SUM(OSRRefT22_10x_0)</f>
        <v>109876</v>
      </c>
      <c r="U64" s="1"/>
      <c r="V64" s="5">
        <f t="shared" si="33"/>
        <v>8.1692861428606475E-2</v>
      </c>
      <c r="W64" s="1"/>
      <c r="X64" s="1">
        <f t="shared" si="34"/>
        <v>-52762.75</v>
      </c>
      <c r="Y64" s="1"/>
      <c r="Z64" s="5">
        <f t="shared" si="35"/>
        <v>-0.48020268302450037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7">
        <v>6756.75</v>
      </c>
      <c r="E65" s="2"/>
      <c r="F65" s="6">
        <f t="shared" si="28"/>
        <v>7.3605555055658842E-2</v>
      </c>
      <c r="G65" s="2"/>
      <c r="H65" s="7">
        <v>16587</v>
      </c>
      <c r="I65" s="2"/>
      <c r="J65" s="6">
        <f t="shared" si="29"/>
        <v>7.9998649567620483E-2</v>
      </c>
      <c r="K65" s="2"/>
      <c r="L65" s="7">
        <f t="shared" si="30"/>
        <v>-9830.25</v>
      </c>
      <c r="M65" s="2"/>
      <c r="N65" s="6">
        <f t="shared" si="31"/>
        <v>-0.5926478567552903</v>
      </c>
      <c r="O65" s="11"/>
      <c r="P65" s="7">
        <v>57113.25</v>
      </c>
      <c r="Q65" s="2"/>
      <c r="R65" s="6">
        <f t="shared" si="32"/>
        <v>6.9015014098453897E-2</v>
      </c>
      <c r="S65" s="2"/>
      <c r="T65" s="7">
        <v>109876</v>
      </c>
      <c r="U65" s="2"/>
      <c r="V65" s="6">
        <f t="shared" si="33"/>
        <v>8.1692861428606475E-2</v>
      </c>
      <c r="W65" s="2"/>
      <c r="X65" s="7">
        <f t="shared" si="34"/>
        <v>-52762.75</v>
      </c>
      <c r="Y65" s="2"/>
      <c r="Z65" s="6">
        <f t="shared" si="35"/>
        <v>-0.48020268302450037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84.9</v>
      </c>
      <c r="E66" s="1"/>
      <c r="F66" s="5">
        <f t="shared" si="28"/>
        <v>9.2486944525480984E-4</v>
      </c>
      <c r="G66" s="1"/>
      <c r="H66" s="1">
        <f>SUM(OSRRefH22_11x_0)</f>
        <v>288</v>
      </c>
      <c r="I66" s="1"/>
      <c r="J66" s="5">
        <f t="shared" si="29"/>
        <v>1.389016161781799E-3</v>
      </c>
      <c r="K66" s="1"/>
      <c r="L66" s="1">
        <f t="shared" si="30"/>
        <v>-203.1</v>
      </c>
      <c r="M66" s="1"/>
      <c r="N66" s="5">
        <f t="shared" si="31"/>
        <v>-0.70520833333333333</v>
      </c>
      <c r="O66" s="13"/>
      <c r="P66" s="1">
        <f>SUM(OSRRefP22_11x_0)</f>
        <v>3438.85</v>
      </c>
      <c r="Q66" s="1"/>
      <c r="R66" s="5">
        <f t="shared" si="32"/>
        <v>4.1554679734119174E-3</v>
      </c>
      <c r="S66" s="1"/>
      <c r="T66" s="1">
        <f>SUM(OSRRefT22_11x_0)</f>
        <v>14175</v>
      </c>
      <c r="U66" s="1"/>
      <c r="V66" s="5">
        <f t="shared" si="33"/>
        <v>1.0539119650792683E-2</v>
      </c>
      <c r="W66" s="1"/>
      <c r="X66" s="1">
        <f t="shared" si="34"/>
        <v>-10736.15</v>
      </c>
      <c r="Y66" s="1"/>
      <c r="Z66" s="5">
        <f t="shared" si="35"/>
        <v>-0.757400352733686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6.319754287953284E-3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25">
      <c r="A68" s="26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2.2922120552658796E-3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7">
        <v>84.9</v>
      </c>
      <c r="E69" s="2"/>
      <c r="F69" s="6">
        <f t="shared" si="28"/>
        <v>9.2486944525480984E-4</v>
      </c>
      <c r="G69" s="2"/>
      <c r="H69" s="7">
        <v>38</v>
      </c>
      <c r="I69" s="2"/>
      <c r="J69" s="6">
        <f t="shared" si="29"/>
        <v>1.8327296579065405E-4</v>
      </c>
      <c r="K69" s="2"/>
      <c r="L69" s="7">
        <f t="shared" si="30"/>
        <v>46.900000000000006</v>
      </c>
      <c r="M69" s="2"/>
      <c r="N69" s="6">
        <f t="shared" si="31"/>
        <v>1.2342105263157896</v>
      </c>
      <c r="O69" s="11"/>
      <c r="P69" s="7">
        <v>1683.83</v>
      </c>
      <c r="Q69" s="2"/>
      <c r="R69" s="6">
        <f t="shared" si="32"/>
        <v>2.034721385832528E-3</v>
      </c>
      <c r="S69" s="2"/>
      <c r="T69" s="7">
        <v>342</v>
      </c>
      <c r="U69" s="2"/>
      <c r="V69" s="6">
        <f t="shared" si="33"/>
        <v>2.5427717252706156E-4</v>
      </c>
      <c r="W69" s="2"/>
      <c r="X69" s="7">
        <f t="shared" si="34"/>
        <v>1341.83</v>
      </c>
      <c r="Y69" s="2"/>
      <c r="Z69" s="6">
        <f t="shared" si="35"/>
        <v>3.9234795321637423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28"/>
        <v>0</v>
      </c>
      <c r="G70" s="2"/>
      <c r="H70" s="7">
        <v>250</v>
      </c>
      <c r="I70" s="2"/>
      <c r="J70" s="6">
        <f t="shared" si="29"/>
        <v>1.205743195991145E-3</v>
      </c>
      <c r="K70" s="2"/>
      <c r="L70" s="7">
        <f t="shared" si="30"/>
        <v>-250</v>
      </c>
      <c r="M70" s="2"/>
      <c r="N70" s="6">
        <f t="shared" si="31"/>
        <v>-1</v>
      </c>
      <c r="O70" s="11"/>
      <c r="P70" s="7">
        <v>1755.02</v>
      </c>
      <c r="Q70" s="2"/>
      <c r="R70" s="6">
        <f t="shared" si="32"/>
        <v>2.1207465875793894E-3</v>
      </c>
      <c r="S70" s="2"/>
      <c r="T70" s="7">
        <v>2250</v>
      </c>
      <c r="U70" s="2"/>
      <c r="V70" s="6">
        <f t="shared" si="33"/>
        <v>1.6728761350464575E-3</v>
      </c>
      <c r="W70" s="2"/>
      <c r="X70" s="7">
        <f t="shared" si="34"/>
        <v>-494.98</v>
      </c>
      <c r="Y70" s="2"/>
      <c r="Z70" s="6">
        <f t="shared" si="35"/>
        <v>-0.21999111111111111</v>
      </c>
    </row>
    <row r="71" spans="1:26" s="25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8494.9599999999991</v>
      </c>
      <c r="E71" s="1"/>
      <c r="F71" s="5">
        <f t="shared" ref="F71:F75" si="36">IF(D$12=0,0,D71/D$12)</f>
        <v>9.2540976945368641E-2</v>
      </c>
      <c r="G71" s="1"/>
      <c r="H71" s="1">
        <f>SUM(OSRRefH22_12x_0)</f>
        <v>6521</v>
      </c>
      <c r="I71" s="1"/>
      <c r="J71" s="5">
        <f t="shared" ref="J71:J75" si="37">IF(H$12=0,0,H71/H$12)</f>
        <v>3.1450605524233025E-2</v>
      </c>
      <c r="K71" s="1"/>
      <c r="L71" s="1">
        <f t="shared" ref="L71:L75" si="38">+D71-H71</f>
        <v>1973.9599999999991</v>
      </c>
      <c r="M71" s="1"/>
      <c r="N71" s="5">
        <f t="shared" ref="N71:N75" si="39">IF(H71=0,0,L71/H71)</f>
        <v>0.30270817359300706</v>
      </c>
      <c r="O71" s="13"/>
      <c r="P71" s="1">
        <f>SUM(OSRRefP22_12x_0)</f>
        <v>46749.600000000006</v>
      </c>
      <c r="Q71" s="1"/>
      <c r="R71" s="5">
        <f t="shared" ref="R71:R75" si="40">IF(P$12=0,0,P71/P$12)</f>
        <v>5.6491695063703794E-2</v>
      </c>
      <c r="S71" s="1"/>
      <c r="T71" s="1">
        <f>SUM(OSRRefT22_12x_0)</f>
        <v>56889</v>
      </c>
      <c r="U71" s="1"/>
      <c r="V71" s="5">
        <f t="shared" ref="V71:V75" si="41">IF(T$12=0,0,T71/T$12)</f>
        <v>4.2297000198514637E-2</v>
      </c>
      <c r="W71" s="1"/>
      <c r="X71" s="1">
        <f t="shared" ref="X71:X75" si="42">+P71-T71</f>
        <v>-10139.399999999994</v>
      </c>
      <c r="Y71" s="1"/>
      <c r="Z71" s="5">
        <f t="shared" ref="Z71:Z75" si="43">IF(T71=0,0,X71/T71)</f>
        <v>-0.1782312925170067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421.34</v>
      </c>
      <c r="E72" s="2"/>
      <c r="F72" s="6">
        <f t="shared" si="36"/>
        <v>4.5899233458617378E-3</v>
      </c>
      <c r="G72" s="2"/>
      <c r="H72" s="7">
        <v>450</v>
      </c>
      <c r="I72" s="2"/>
      <c r="J72" s="6">
        <f t="shared" si="37"/>
        <v>2.1703377527840608E-3</v>
      </c>
      <c r="K72" s="2"/>
      <c r="L72" s="7">
        <f t="shared" si="38"/>
        <v>-28.660000000000025</v>
      </c>
      <c r="M72" s="2"/>
      <c r="N72" s="6">
        <f t="shared" si="39"/>
        <v>-6.3688888888888948E-2</v>
      </c>
      <c r="O72" s="11"/>
      <c r="P72" s="7">
        <v>3238.76</v>
      </c>
      <c r="Q72" s="2"/>
      <c r="R72" s="6">
        <f t="shared" si="40"/>
        <v>3.9136814497775655E-3</v>
      </c>
      <c r="S72" s="2"/>
      <c r="T72" s="7">
        <v>4050</v>
      </c>
      <c r="U72" s="2"/>
      <c r="V72" s="6">
        <f t="shared" si="41"/>
        <v>3.0111770430836238E-3</v>
      </c>
      <c r="W72" s="2"/>
      <c r="X72" s="7">
        <f t="shared" si="42"/>
        <v>-811.23999999999978</v>
      </c>
      <c r="Y72" s="2"/>
      <c r="Z72" s="6">
        <f t="shared" si="43"/>
        <v>-0.20030617283950611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3.4167194541262909E-4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7">
        <v>7547.32</v>
      </c>
      <c r="E74" s="2"/>
      <c r="F74" s="6">
        <f t="shared" si="36"/>
        <v>8.2217734529570444E-2</v>
      </c>
      <c r="G74" s="2"/>
      <c r="H74" s="7">
        <v>4571</v>
      </c>
      <c r="I74" s="2"/>
      <c r="J74" s="6">
        <f t="shared" si="37"/>
        <v>2.2045808595502096E-2</v>
      </c>
      <c r="K74" s="2"/>
      <c r="L74" s="7">
        <f t="shared" si="38"/>
        <v>2976.3199999999997</v>
      </c>
      <c r="M74" s="2"/>
      <c r="N74" s="6">
        <f t="shared" si="39"/>
        <v>0.65113104353533136</v>
      </c>
      <c r="O74" s="11"/>
      <c r="P74" s="7">
        <v>36686.61</v>
      </c>
      <c r="Q74" s="2"/>
      <c r="R74" s="6">
        <f t="shared" si="40"/>
        <v>4.4331690218547881E-2</v>
      </c>
      <c r="S74" s="2"/>
      <c r="T74" s="7">
        <v>39339</v>
      </c>
      <c r="U74" s="2"/>
      <c r="V74" s="6">
        <f t="shared" si="41"/>
        <v>2.9248566345152265E-2</v>
      </c>
      <c r="W74" s="2"/>
      <c r="X74" s="7">
        <f t="shared" si="42"/>
        <v>-2652.3899999999994</v>
      </c>
      <c r="Y74" s="2"/>
      <c r="Z74" s="6">
        <f t="shared" si="43"/>
        <v>-6.7423930450697764E-2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7">
        <v>526.29999999999995</v>
      </c>
      <c r="E75" s="2"/>
      <c r="F75" s="6">
        <f t="shared" si="36"/>
        <v>5.7333190699364704E-3</v>
      </c>
      <c r="G75" s="2"/>
      <c r="H75" s="7">
        <v>1500</v>
      </c>
      <c r="I75" s="2"/>
      <c r="J75" s="6">
        <f t="shared" si="37"/>
        <v>7.2344591759468703E-3</v>
      </c>
      <c r="K75" s="2"/>
      <c r="L75" s="7">
        <f t="shared" si="38"/>
        <v>-973.7</v>
      </c>
      <c r="M75" s="2"/>
      <c r="N75" s="6">
        <f t="shared" si="39"/>
        <v>-0.64913333333333334</v>
      </c>
      <c r="O75" s="11"/>
      <c r="P75" s="7">
        <v>6541.48</v>
      </c>
      <c r="Q75" s="2"/>
      <c r="R75" s="6">
        <f t="shared" si="40"/>
        <v>7.9046514499657109E-3</v>
      </c>
      <c r="S75" s="2"/>
      <c r="T75" s="7">
        <v>13500</v>
      </c>
      <c r="U75" s="2"/>
      <c r="V75" s="6">
        <f t="shared" si="41"/>
        <v>1.0037256810278746E-2</v>
      </c>
      <c r="W75" s="2"/>
      <c r="X75" s="7">
        <f t="shared" si="42"/>
        <v>-6958.52</v>
      </c>
      <c r="Y75" s="2"/>
      <c r="Z75" s="6">
        <f t="shared" si="43"/>
        <v>-0.51544592592592597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3"/>
      <c r="P76" s="1">
        <f>SUM(OSRRefP22_13x_0)</f>
        <v>795</v>
      </c>
      <c r="Q76" s="1"/>
      <c r="R76" s="5">
        <f t="shared" ref="R76:R87" si="48">IF(P$12=0,0,P76/P$12)</f>
        <v>9.6066913033789612E-4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9.6066913033789612E-4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5" customFormat="1" outlineLevel="1" collapsed="1" x14ac:dyDescent="0.25">
      <c r="A78" s="27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7449.67</v>
      </c>
      <c r="E78" s="1"/>
      <c r="F78" s="5">
        <f t="shared" si="44"/>
        <v>8.1153971263031796E-2</v>
      </c>
      <c r="G78" s="1"/>
      <c r="H78" s="1">
        <f>SUM(OSRRefH22_14x_0)</f>
        <v>8018</v>
      </c>
      <c r="I78" s="1"/>
      <c r="J78" s="5">
        <f t="shared" si="45"/>
        <v>3.8670595781828E-2</v>
      </c>
      <c r="K78" s="1"/>
      <c r="L78" s="1">
        <f t="shared" si="46"/>
        <v>-568.32999999999993</v>
      </c>
      <c r="M78" s="1"/>
      <c r="N78" s="5">
        <f t="shared" si="47"/>
        <v>-7.0881766026440501E-2</v>
      </c>
      <c r="O78" s="13"/>
      <c r="P78" s="1">
        <f>SUM(OSRRefP22_14x_0)</f>
        <v>104899.34999999999</v>
      </c>
      <c r="Q78" s="1"/>
      <c r="R78" s="5">
        <f t="shared" si="48"/>
        <v>0.1267592041981265</v>
      </c>
      <c r="S78" s="1"/>
      <c r="T78" s="1">
        <f>SUM(OSRRefT22_14x_0)</f>
        <v>65384</v>
      </c>
      <c r="U78" s="1"/>
      <c r="V78" s="5">
        <f t="shared" si="49"/>
        <v>4.8613036983945597E-2</v>
      </c>
      <c r="W78" s="1"/>
      <c r="X78" s="1">
        <f t="shared" si="50"/>
        <v>39515.349999999991</v>
      </c>
      <c r="Y78" s="1"/>
      <c r="Z78" s="5">
        <f t="shared" si="51"/>
        <v>0.60435809984093958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44"/>
        <v>0</v>
      </c>
      <c r="G79" s="2"/>
      <c r="H79" s="7">
        <v>4000</v>
      </c>
      <c r="I79" s="2"/>
      <c r="J79" s="6">
        <f t="shared" si="45"/>
        <v>1.929189113585832E-2</v>
      </c>
      <c r="K79" s="2"/>
      <c r="L79" s="7">
        <f t="shared" si="46"/>
        <v>-4000</v>
      </c>
      <c r="M79" s="2"/>
      <c r="N79" s="6">
        <f t="shared" si="47"/>
        <v>-1</v>
      </c>
      <c r="O79" s="11"/>
      <c r="P79" s="7">
        <v>47255.27</v>
      </c>
      <c r="Q79" s="2"/>
      <c r="R79" s="6">
        <f t="shared" si="48"/>
        <v>5.7102741050040845E-2</v>
      </c>
      <c r="S79" s="2"/>
      <c r="T79" s="7">
        <v>32000</v>
      </c>
      <c r="U79" s="2"/>
      <c r="V79" s="6">
        <f t="shared" si="49"/>
        <v>2.3792016142882955E-2</v>
      </c>
      <c r="W79" s="2"/>
      <c r="X79" s="7">
        <f t="shared" si="50"/>
        <v>15255.269999999997</v>
      </c>
      <c r="Y79" s="2"/>
      <c r="Z79" s="6">
        <f t="shared" si="51"/>
        <v>0.47672718749999993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>
        <v>1954.49</v>
      </c>
      <c r="E80" s="2"/>
      <c r="F80" s="6">
        <f t="shared" si="44"/>
        <v>2.1291496844005574E-2</v>
      </c>
      <c r="G80" s="2"/>
      <c r="H80" s="7">
        <v>3000</v>
      </c>
      <c r="I80" s="2"/>
      <c r="J80" s="6">
        <f t="shared" si="45"/>
        <v>1.4468918351893741E-2</v>
      </c>
      <c r="K80" s="2"/>
      <c r="L80" s="7">
        <f t="shared" si="46"/>
        <v>-1045.51</v>
      </c>
      <c r="M80" s="2"/>
      <c r="N80" s="6">
        <f t="shared" si="47"/>
        <v>-0.34850333333333333</v>
      </c>
      <c r="O80" s="11"/>
      <c r="P80" s="7">
        <v>15149.36</v>
      </c>
      <c r="Q80" s="2"/>
      <c r="R80" s="6">
        <f t="shared" si="48"/>
        <v>1.8306317605504038E-2</v>
      </c>
      <c r="S80" s="2"/>
      <c r="T80" s="7">
        <v>24000</v>
      </c>
      <c r="U80" s="2"/>
      <c r="V80" s="6">
        <f t="shared" si="49"/>
        <v>1.7844012107162216E-2</v>
      </c>
      <c r="W80" s="2"/>
      <c r="X80" s="7">
        <f t="shared" si="50"/>
        <v>-8850.64</v>
      </c>
      <c r="Y80" s="2"/>
      <c r="Z80" s="6">
        <f t="shared" si="51"/>
        <v>-0.36877666666666664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>
        <v>39.75</v>
      </c>
      <c r="E81" s="2"/>
      <c r="F81" s="6">
        <f t="shared" si="44"/>
        <v>4.3302191341435442E-4</v>
      </c>
      <c r="G81" s="2"/>
      <c r="H81" s="7">
        <v>500</v>
      </c>
      <c r="I81" s="2"/>
      <c r="J81" s="6">
        <f t="shared" si="45"/>
        <v>2.41148639198229E-3</v>
      </c>
      <c r="K81" s="2"/>
      <c r="L81" s="7">
        <f t="shared" si="46"/>
        <v>-460.25</v>
      </c>
      <c r="M81" s="2"/>
      <c r="N81" s="6">
        <f t="shared" si="47"/>
        <v>-0.92049999999999998</v>
      </c>
      <c r="O81" s="11"/>
      <c r="P81" s="7">
        <v>6056.01</v>
      </c>
      <c r="Q81" s="2"/>
      <c r="R81" s="6">
        <f t="shared" si="48"/>
        <v>7.3180149182611358E-3</v>
      </c>
      <c r="S81" s="2"/>
      <c r="T81" s="7">
        <v>4000</v>
      </c>
      <c r="U81" s="2"/>
      <c r="V81" s="6">
        <f t="shared" si="49"/>
        <v>2.9740020178603693E-3</v>
      </c>
      <c r="W81" s="2"/>
      <c r="X81" s="7">
        <f t="shared" si="50"/>
        <v>2056.0100000000002</v>
      </c>
      <c r="Y81" s="2"/>
      <c r="Z81" s="6">
        <f t="shared" si="51"/>
        <v>0.51400250000000003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>
        <v>1367.37</v>
      </c>
      <c r="E82" s="2"/>
      <c r="F82" s="6">
        <f t="shared" si="44"/>
        <v>1.4895627012462534E-2</v>
      </c>
      <c r="G82" s="2"/>
      <c r="H82" s="7">
        <v>150</v>
      </c>
      <c r="I82" s="2"/>
      <c r="J82" s="6">
        <f t="shared" si="45"/>
        <v>7.2344591759468705E-4</v>
      </c>
      <c r="K82" s="2"/>
      <c r="L82" s="7">
        <f t="shared" si="46"/>
        <v>1217.3699999999999</v>
      </c>
      <c r="M82" s="2"/>
      <c r="N82" s="6">
        <f t="shared" si="47"/>
        <v>8.1158000000000001</v>
      </c>
      <c r="O82" s="11"/>
      <c r="P82" s="7">
        <v>6606.12</v>
      </c>
      <c r="Q82" s="2"/>
      <c r="R82" s="6">
        <f t="shared" si="48"/>
        <v>7.9827617047896638E-3</v>
      </c>
      <c r="S82" s="2"/>
      <c r="T82" s="7">
        <v>1350</v>
      </c>
      <c r="U82" s="2"/>
      <c r="V82" s="6">
        <f t="shared" si="49"/>
        <v>1.0037256810278745E-3</v>
      </c>
      <c r="W82" s="2"/>
      <c r="X82" s="7">
        <f t="shared" si="50"/>
        <v>5256.12</v>
      </c>
      <c r="Y82" s="2"/>
      <c r="Z82" s="6">
        <f t="shared" si="51"/>
        <v>3.8934222222222221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>
        <v>4088.06</v>
      </c>
      <c r="E83" s="2"/>
      <c r="F83" s="6">
        <f t="shared" si="44"/>
        <v>4.4533825493149326E-2</v>
      </c>
      <c r="G83" s="2"/>
      <c r="H83" s="7"/>
      <c r="I83" s="2"/>
      <c r="J83" s="6">
        <f t="shared" si="45"/>
        <v>0</v>
      </c>
      <c r="K83" s="2"/>
      <c r="L83" s="7">
        <f t="shared" si="46"/>
        <v>4088.06</v>
      </c>
      <c r="M83" s="2"/>
      <c r="N83" s="6">
        <f t="shared" si="47"/>
        <v>0</v>
      </c>
      <c r="O83" s="11"/>
      <c r="P83" s="7">
        <v>25332</v>
      </c>
      <c r="Q83" s="2"/>
      <c r="R83" s="6">
        <f t="shared" si="48"/>
        <v>3.0610906175747906E-2</v>
      </c>
      <c r="S83" s="2"/>
      <c r="T83" s="7"/>
      <c r="U83" s="2"/>
      <c r="V83" s="6">
        <f t="shared" si="49"/>
        <v>0</v>
      </c>
      <c r="W83" s="2"/>
      <c r="X83" s="7">
        <f t="shared" si="50"/>
        <v>25332</v>
      </c>
      <c r="Y83" s="2"/>
      <c r="Z83" s="6">
        <f t="shared" si="51"/>
        <v>0</v>
      </c>
    </row>
    <row r="84" spans="1:26" s="24" customFormat="1" hidden="1" outlineLevel="2" x14ac:dyDescent="0.25">
      <c r="A84" s="26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/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/>
      <c r="Q84" s="2"/>
      <c r="R84" s="6">
        <f t="shared" si="48"/>
        <v>0</v>
      </c>
      <c r="S84" s="2"/>
      <c r="T84" s="7">
        <v>240</v>
      </c>
      <c r="U84" s="2"/>
      <c r="V84" s="6">
        <f t="shared" si="49"/>
        <v>1.7844012107162213E-4</v>
      </c>
      <c r="W84" s="2"/>
      <c r="X84" s="7">
        <f t="shared" si="50"/>
        <v>-240</v>
      </c>
      <c r="Y84" s="2"/>
      <c r="Z84" s="6">
        <f t="shared" si="51"/>
        <v>-1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3.7175025223254617E-4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8.6813510111362436E-5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144</v>
      </c>
      <c r="U86" s="2"/>
      <c r="V86" s="6">
        <f t="shared" si="49"/>
        <v>1.0706407264297329E-4</v>
      </c>
      <c r="W86" s="2"/>
      <c r="X86" s="7">
        <f t="shared" si="50"/>
        <v>-144</v>
      </c>
      <c r="Y86" s="2"/>
      <c r="Z86" s="6">
        <f t="shared" si="51"/>
        <v>-1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1.688040474387603E-3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5.4384627437829335E-3</v>
      </c>
      <c r="S87" s="2"/>
      <c r="T87" s="7">
        <v>3150</v>
      </c>
      <c r="U87" s="2"/>
      <c r="V87" s="6">
        <f t="shared" si="49"/>
        <v>2.3420265890650408E-3</v>
      </c>
      <c r="W87" s="2"/>
      <c r="X87" s="7">
        <f t="shared" si="50"/>
        <v>1350.5900000000001</v>
      </c>
      <c r="Y87" s="2"/>
      <c r="Z87" s="6">
        <f t="shared" si="51"/>
        <v>0.42875873015873023</v>
      </c>
    </row>
    <row r="88" spans="1:26" s="25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159</v>
      </c>
      <c r="E88" s="1"/>
      <c r="F88" s="5">
        <f t="shared" ref="F88:F90" si="52">IF(D$12=0,0,D88/D$12)</f>
        <v>1.7320876536574177E-3</v>
      </c>
      <c r="G88" s="1"/>
      <c r="H88" s="1">
        <f>SUM(OSRRefH22_15x_0)</f>
        <v>310</v>
      </c>
      <c r="I88" s="1"/>
      <c r="J88" s="5">
        <f t="shared" ref="J88:J90" si="53">IF(H$12=0,0,H88/H$12)</f>
        <v>1.4951215630290198E-3</v>
      </c>
      <c r="K88" s="1"/>
      <c r="L88" s="1">
        <f t="shared" ref="L88:L90" si="54">+D88-H88</f>
        <v>-151</v>
      </c>
      <c r="M88" s="1"/>
      <c r="N88" s="5">
        <f t="shared" ref="N88:N90" si="55">IF(H88=0,0,L88/H88)</f>
        <v>-0.48709677419354841</v>
      </c>
      <c r="O88" s="13"/>
      <c r="P88" s="1">
        <f>SUM(OSRRefP22_15x_0)</f>
        <v>2182</v>
      </c>
      <c r="Q88" s="1"/>
      <c r="R88" s="5">
        <f t="shared" ref="R88:R90" si="56">IF(P$12=0,0,P88/P$12)</f>
        <v>2.636704455845647E-3</v>
      </c>
      <c r="S88" s="1"/>
      <c r="T88" s="1">
        <f>SUM(OSRRefT22_15x_0)</f>
        <v>2790</v>
      </c>
      <c r="U88" s="1"/>
      <c r="V88" s="5">
        <f t="shared" ref="V88:V90" si="57">IF(T$12=0,0,T88/T$12)</f>
        <v>2.0743664074576074E-3</v>
      </c>
      <c r="W88" s="1"/>
      <c r="X88" s="1">
        <f t="shared" ref="X88:X90" si="58">+P88-T88</f>
        <v>-608</v>
      </c>
      <c r="Y88" s="1"/>
      <c r="Z88" s="5">
        <f t="shared" ref="Z88:Z90" si="59">IF(T88=0,0,X88/T88)</f>
        <v>-0.21792114695340503</v>
      </c>
    </row>
    <row r="89" spans="1:26" s="24" customFormat="1" hidden="1" outlineLevel="2" x14ac:dyDescent="0.25">
      <c r="A89" s="26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1.4951215630290198E-3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2790</v>
      </c>
      <c r="U89" s="2"/>
      <c r="V89" s="6">
        <f t="shared" si="57"/>
        <v>2.0743664074576074E-3</v>
      </c>
      <c r="W89" s="2"/>
      <c r="X89" s="7">
        <f t="shared" si="58"/>
        <v>-2790</v>
      </c>
      <c r="Y89" s="2"/>
      <c r="Z89" s="6">
        <f t="shared" si="59"/>
        <v>-1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159</v>
      </c>
      <c r="E90" s="2"/>
      <c r="F90" s="6">
        <f t="shared" si="52"/>
        <v>1.7320876536574177E-3</v>
      </c>
      <c r="G90" s="2"/>
      <c r="H90" s="7"/>
      <c r="I90" s="2"/>
      <c r="J90" s="6">
        <f t="shared" si="53"/>
        <v>0</v>
      </c>
      <c r="K90" s="2"/>
      <c r="L90" s="7">
        <f t="shared" si="54"/>
        <v>159</v>
      </c>
      <c r="M90" s="2"/>
      <c r="N90" s="6">
        <f t="shared" si="55"/>
        <v>0</v>
      </c>
      <c r="O90" s="11"/>
      <c r="P90" s="7">
        <v>2182</v>
      </c>
      <c r="Q90" s="2"/>
      <c r="R90" s="6">
        <f t="shared" si="56"/>
        <v>2.636704455845647E-3</v>
      </c>
      <c r="S90" s="2"/>
      <c r="T90" s="7"/>
      <c r="U90" s="2"/>
      <c r="V90" s="6">
        <f t="shared" si="57"/>
        <v>0</v>
      </c>
      <c r="W90" s="2"/>
      <c r="X90" s="7">
        <f t="shared" si="58"/>
        <v>2182</v>
      </c>
      <c r="Y90" s="2"/>
      <c r="Z90" s="6">
        <f t="shared" si="59"/>
        <v>0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SUM(OSRRefD22_16x_0)</f>
        <v>0</v>
      </c>
      <c r="E91" s="1"/>
      <c r="F91" s="5">
        <f t="shared" ref="F91:F92" si="60">IF(D$12=0,0,D91/D$12)</f>
        <v>0</v>
      </c>
      <c r="G91" s="1"/>
      <c r="H91" s="1">
        <f>SUM(OSRRefH22_16x_0)</f>
        <v>350</v>
      </c>
      <c r="I91" s="1"/>
      <c r="J91" s="5">
        <f t="shared" ref="J91:J92" si="61">IF(H$12=0,0,H91/H$12)</f>
        <v>1.688040474387603E-3</v>
      </c>
      <c r="K91" s="1"/>
      <c r="L91" s="1">
        <f t="shared" ref="L91:L92" si="62">+D91-H91</f>
        <v>-350</v>
      </c>
      <c r="M91" s="1"/>
      <c r="N91" s="5">
        <f t="shared" ref="N91:N92" si="63">IF(H91=0,0,L91/H91)</f>
        <v>-1</v>
      </c>
      <c r="O91" s="13"/>
      <c r="P91" s="1">
        <f>SUM(OSRRefP22_16x_0)</f>
        <v>735</v>
      </c>
      <c r="Q91" s="1"/>
      <c r="R91" s="5">
        <f t="shared" ref="R91:R92" si="64">IF(P$12=0,0,P91/P$12)</f>
        <v>8.8816579974635682E-4</v>
      </c>
      <c r="S91" s="1"/>
      <c r="T91" s="1">
        <f>SUM(OSRRefT22_16x_0)</f>
        <v>2800</v>
      </c>
      <c r="U91" s="1"/>
      <c r="V91" s="5">
        <f t="shared" ref="V91:V92" si="65">IF(T$12=0,0,T91/T$12)</f>
        <v>2.0818014125022584E-3</v>
      </c>
      <c r="W91" s="1"/>
      <c r="X91" s="1">
        <f t="shared" ref="X91:X92" si="66">+P91-T91</f>
        <v>-2065</v>
      </c>
      <c r="Y91" s="1"/>
      <c r="Z91" s="5">
        <f t="shared" ref="Z91:Z92" si="67">IF(T91=0,0,X91/T91)</f>
        <v>-0.73750000000000004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1.688040474387603E-3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8.8816579974635682E-4</v>
      </c>
      <c r="S92" s="2"/>
      <c r="T92" s="7">
        <v>2800</v>
      </c>
      <c r="U92" s="2"/>
      <c r="V92" s="6">
        <f t="shared" si="65"/>
        <v>2.0818014125022584E-3</v>
      </c>
      <c r="W92" s="2"/>
      <c r="X92" s="7">
        <f t="shared" si="66"/>
        <v>-2065</v>
      </c>
      <c r="Y92" s="2"/>
      <c r="Z92" s="6">
        <f t="shared" si="67"/>
        <v>-0.73750000000000004</v>
      </c>
    </row>
    <row r="93" spans="1:26" s="59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293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277</v>
      </c>
      <c r="C96" s="29"/>
      <c r="D96" s="20">
        <f>+D23-D25+D94</f>
        <v>-69051.270000000019</v>
      </c>
      <c r="E96" s="14"/>
      <c r="F96" s="21">
        <f>IF(D$12=0,0,D96/D$12)</f>
        <v>-0.75221919645512492</v>
      </c>
      <c r="G96" s="14"/>
      <c r="H96" s="20">
        <f>+H23-H25+H94</f>
        <v>20099.450972230698</v>
      </c>
      <c r="I96" s="14"/>
      <c r="J96" s="21">
        <f>IF(H$12=0,0,H96/H$12)</f>
        <v>9.693910501169907E-2</v>
      </c>
      <c r="K96" s="16"/>
      <c r="L96" s="20">
        <f>+D96-H96</f>
        <v>-89150.720972230716</v>
      </c>
      <c r="M96" s="16"/>
      <c r="N96" s="21">
        <f>IF(H96=0,0,L96/H96)</f>
        <v>-4.4354804066738396</v>
      </c>
      <c r="O96" s="28"/>
      <c r="P96" s="20">
        <f>+P23-P25+P94</f>
        <v>-552397.58000000007</v>
      </c>
      <c r="Q96" s="14"/>
      <c r="R96" s="21">
        <f>IF(P$12=0,0,P96/P$12)</f>
        <v>-0.66751107267843834</v>
      </c>
      <c r="S96" s="14"/>
      <c r="T96" s="20">
        <f>+T23-T25+T94</f>
        <v>-153958.16139174998</v>
      </c>
      <c r="U96" s="14"/>
      <c r="V96" s="21">
        <f>IF(T$12=0,0,T96/T$12)</f>
        <v>-0.1144679706612842</v>
      </c>
      <c r="W96" s="16"/>
      <c r="X96" s="20">
        <f>+P96-T96</f>
        <v>-398439.4186082501</v>
      </c>
      <c r="Y96" s="16"/>
      <c r="Z96" s="21">
        <f>IF(T96=0,0,X96/T96)</f>
        <v>2.5879720503703085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128</v>
      </c>
      <c r="C98" s="10"/>
      <c r="D98" s="4">
        <v>24845.55</v>
      </c>
      <c r="E98" s="4"/>
      <c r="F98" s="12">
        <f>IF(D$12=0,0,D98/D$12)</f>
        <v>0.27065830442344685</v>
      </c>
      <c r="G98" s="4"/>
      <c r="H98" s="4">
        <v>42196</v>
      </c>
      <c r="I98" s="4"/>
      <c r="J98" s="12">
        <f>IF(H$12=0,0,H98/H$12)</f>
        <v>0.20351015959216942</v>
      </c>
      <c r="K98" s="4"/>
      <c r="L98" s="4">
        <f>+D98-H98</f>
        <v>-17350.45</v>
      </c>
      <c r="M98" s="4"/>
      <c r="N98" s="12">
        <f>IF(H98=0,0,L98/H98)</f>
        <v>-0.41118707934401366</v>
      </c>
      <c r="O98" s="10"/>
      <c r="P98" s="4">
        <v>170550.66</v>
      </c>
      <c r="Q98" s="4"/>
      <c r="R98" s="12">
        <f>IF(P$12=0,0,P98/P$12)</f>
        <v>0.20609151474308707</v>
      </c>
      <c r="S98" s="4"/>
      <c r="T98" s="4">
        <v>237848</v>
      </c>
      <c r="U98" s="4"/>
      <c r="V98" s="12">
        <f>IF(T$12=0,0,T98/T$12)</f>
        <v>0.17684010798601327</v>
      </c>
      <c r="W98" s="4"/>
      <c r="X98" s="4">
        <f>+P98-T98</f>
        <v>-67297.34</v>
      </c>
      <c r="Y98" s="4"/>
      <c r="Z98" s="12">
        <f>IF(T98=0,0,X98/T98)</f>
        <v>-0.28294263563284111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126</v>
      </c>
      <c r="C100" s="29"/>
      <c r="D100" s="34">
        <f>+D96-D98</f>
        <v>-93896.820000000022</v>
      </c>
      <c r="E100" s="14"/>
      <c r="F100" s="30">
        <f>IF(D$12=0,0,D100/D$12)</f>
        <v>-1.0228775008785718</v>
      </c>
      <c r="G100" s="14"/>
      <c r="H100" s="34">
        <f>+H96-H98</f>
        <v>-22096.549027769302</v>
      </c>
      <c r="I100" s="14"/>
      <c r="J100" s="30">
        <f>IF(H$12=0,0,H100/H$12)</f>
        <v>-0.10657105458047035</v>
      </c>
      <c r="K100" s="16"/>
      <c r="L100" s="34">
        <f>D100-H100</f>
        <v>-71800.270972230719</v>
      </c>
      <c r="M100" s="16"/>
      <c r="N100" s="30">
        <f>IF(H100=0,0,L100/H100)</f>
        <v>3.2493884398870372</v>
      </c>
      <c r="O100" s="28"/>
      <c r="P100" s="34">
        <f>+P96-P98</f>
        <v>-722948.24000000011</v>
      </c>
      <c r="Q100" s="14"/>
      <c r="R100" s="30">
        <f>IF(P$12=0,0,P100/P$12)</f>
        <v>-0.87360258742152541</v>
      </c>
      <c r="S100" s="14"/>
      <c r="T100" s="34">
        <f>+T96-T98</f>
        <v>-391806.16139174998</v>
      </c>
      <c r="U100" s="14"/>
      <c r="V100" s="30">
        <f>IF(T$12=0,0,T100/T$12)</f>
        <v>-0.29130807864729746</v>
      </c>
      <c r="W100" s="16"/>
      <c r="X100" s="34">
        <f>P100-T100</f>
        <v>-331142.07860825013</v>
      </c>
      <c r="Y100" s="16"/>
      <c r="Z100" s="30">
        <f>IF(T100=0,0,X100/T100)</f>
        <v>0.84516812454400259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294</v>
      </c>
      <c r="C103" s="29"/>
      <c r="D103" s="31">
        <f>SUM(D100:D102)</f>
        <v>-93896.820000000022</v>
      </c>
      <c r="E103" s="14"/>
      <c r="F103" s="35">
        <f>IF(D$12=0,0,D103/D$12)</f>
        <v>-1.0228775008785718</v>
      </c>
      <c r="G103" s="14"/>
      <c r="H103" s="31">
        <f>SUM(H100:H102)</f>
        <v>-22096.549027769302</v>
      </c>
      <c r="I103" s="14"/>
      <c r="J103" s="35">
        <f>IF(H$12=0,0,H103/H$12)</f>
        <v>-0.10657105458047035</v>
      </c>
      <c r="K103" s="16"/>
      <c r="L103" s="31">
        <f>+D103-H103</f>
        <v>-71800.270972230719</v>
      </c>
      <c r="M103" s="16"/>
      <c r="N103" s="35">
        <f>IF(H103=0,0,L103/H103)</f>
        <v>3.2493884398870372</v>
      </c>
      <c r="O103" s="28"/>
      <c r="P103" s="31">
        <f>SUM(P100:P102)</f>
        <v>-722948.24000000011</v>
      </c>
      <c r="Q103" s="14"/>
      <c r="R103" s="35">
        <f>IF(P$12=0,0,P103/P$12)</f>
        <v>-0.87360258742152541</v>
      </c>
      <c r="S103" s="14"/>
      <c r="T103" s="31">
        <f>SUM(T100:T102)</f>
        <v>-391806.16139174998</v>
      </c>
      <c r="U103" s="14"/>
      <c r="V103" s="35">
        <f>IF(T$12=0,0,T103/T$12)</f>
        <v>-0.29130807864729746</v>
      </c>
      <c r="W103" s="16"/>
      <c r="X103" s="31">
        <f>+P103-T103</f>
        <v>-331142.07860825013</v>
      </c>
      <c r="Y103" s="16"/>
      <c r="Z103" s="35">
        <f>IF(T103=0,0,X103/T103)</f>
        <v>0.84516812454400259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6">
        <v>44295.961797766206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3" t="s">
        <v>56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4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64324</v>
      </c>
      <c r="I12" s="4"/>
      <c r="J12" s="12"/>
      <c r="K12" s="4"/>
      <c r="L12" s="4">
        <f t="shared" ref="L12:L14" si="0">+D12-H12</f>
        <v>-64324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455815</v>
      </c>
      <c r="U12" s="4"/>
      <c r="V12" s="12"/>
      <c r="W12" s="4"/>
      <c r="X12" s="4">
        <f t="shared" ref="X12:X14" si="2">+P12-T12</f>
        <v>-455815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64324</v>
      </c>
      <c r="I13" s="2"/>
      <c r="J13" s="19"/>
      <c r="K13" s="2"/>
      <c r="L13" s="2">
        <f t="shared" si="0"/>
        <v>-64324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455815</v>
      </c>
      <c r="U13" s="2"/>
      <c r="V13" s="19"/>
      <c r="W13" s="2"/>
      <c r="X13" s="2">
        <f t="shared" si="2"/>
        <v>-455815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/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17368</v>
      </c>
      <c r="I16" s="4"/>
      <c r="J16" s="12">
        <f t="shared" ref="J16:J17" si="7">IF(H$12=0,0,H16/H$12)</f>
        <v>0.27000808407437349</v>
      </c>
      <c r="K16" s="4"/>
      <c r="L16" s="4">
        <f t="shared" ref="L16:L17" si="8">+D16-H16</f>
        <v>-17368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124273</v>
      </c>
      <c r="U16" s="4"/>
      <c r="V16" s="12">
        <f t="shared" ref="V16:V17" si="11">IF(T$12=0,0,T16/T$12)</f>
        <v>0.27263911894079834</v>
      </c>
      <c r="W16" s="4"/>
      <c r="X16" s="4">
        <f t="shared" ref="X16:X17" si="12">+P16-T16</f>
        <v>-124273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17368</v>
      </c>
      <c r="I17" s="2"/>
      <c r="J17" s="19">
        <f t="shared" si="7"/>
        <v>0.27000808407437349</v>
      </c>
      <c r="K17" s="2"/>
      <c r="L17" s="2">
        <f t="shared" si="8"/>
        <v>-17368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124273</v>
      </c>
      <c r="U17" s="2"/>
      <c r="V17" s="19">
        <f t="shared" si="11"/>
        <v>0.27263911894079834</v>
      </c>
      <c r="W17" s="2"/>
      <c r="X17" s="2">
        <f t="shared" si="12"/>
        <v>-124273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108</v>
      </c>
      <c r="C19" s="29"/>
      <c r="D19" s="20">
        <f>D12-D16</f>
        <v>0</v>
      </c>
      <c r="E19" s="14"/>
      <c r="F19" s="21">
        <f>IF(D$12=0,0,D19/D$12)</f>
        <v>0</v>
      </c>
      <c r="G19" s="14"/>
      <c r="H19" s="20">
        <f>H12-H16</f>
        <v>46956</v>
      </c>
      <c r="I19" s="14"/>
      <c r="J19" s="21">
        <f>IF(H$12=0,0,H19/H$12)</f>
        <v>0.72999191592562651</v>
      </c>
      <c r="K19" s="16"/>
      <c r="L19" s="20">
        <f>+D19-H19</f>
        <v>-46956</v>
      </c>
      <c r="M19" s="16"/>
      <c r="N19" s="21">
        <f>IF(H19=0,0,L19/H19)</f>
        <v>-1</v>
      </c>
      <c r="O19" s="28"/>
      <c r="P19" s="20">
        <f>P12-P16</f>
        <v>0</v>
      </c>
      <c r="Q19" s="14"/>
      <c r="R19" s="21">
        <f>IF(P$12=0,0,P19/P$12)</f>
        <v>0</v>
      </c>
      <c r="S19" s="14"/>
      <c r="T19" s="20">
        <f>T12-T16</f>
        <v>331542</v>
      </c>
      <c r="U19" s="14"/>
      <c r="V19" s="21">
        <f>IF(T$12=0,0,T19/T$12)</f>
        <v>0.7273608810592016</v>
      </c>
      <c r="W19" s="16"/>
      <c r="X19" s="20">
        <f>+P19-T19</f>
        <v>-331542</v>
      </c>
      <c r="Y19" s="16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295</v>
      </c>
      <c r="C21" s="10"/>
      <c r="D21" s="22">
        <f>SUM(OSRRefD22x_0)</f>
        <v>41679.39</v>
      </c>
      <c r="E21" s="22"/>
      <c r="F21" s="32">
        <f t="shared" ref="F21:F32" si="14">IF(D$12=0,0,D21/D$12)</f>
        <v>0</v>
      </c>
      <c r="G21" s="22"/>
      <c r="H21" s="22">
        <f>SUM(OSRRefH22x_0)</f>
        <v>90680.714826837662</v>
      </c>
      <c r="I21" s="22"/>
      <c r="J21" s="32">
        <f t="shared" ref="J21:J32" si="15">IF(H$12=0,0,H21/H$12)</f>
        <v>1.4097493132709045</v>
      </c>
      <c r="K21" s="4"/>
      <c r="L21" s="22">
        <f t="shared" ref="L21:L32" si="16">+D21-H21</f>
        <v>-49001.324826837663</v>
      </c>
      <c r="M21" s="4"/>
      <c r="N21" s="32">
        <f t="shared" ref="N21:N32" si="17">IF(H21=0,0,L21/H21)</f>
        <v>-0.54037206169371022</v>
      </c>
      <c r="O21" s="10"/>
      <c r="P21" s="22">
        <f>SUM(OSRRefP22x_0)</f>
        <v>369263.90999999992</v>
      </c>
      <c r="Q21" s="22"/>
      <c r="R21" s="32">
        <f t="shared" ref="R21:R32" si="18">IF(P$12=0,0,P21/P$12)</f>
        <v>0</v>
      </c>
      <c r="S21" s="22"/>
      <c r="T21" s="22">
        <f>SUM(OSRRefT22x_0)</f>
        <v>826151.36803822988</v>
      </c>
      <c r="U21" s="22"/>
      <c r="V21" s="32">
        <f t="shared" ref="V21:V32" si="19">IF(T$12=0,0,T21/T$12)</f>
        <v>1.8124707787989203</v>
      </c>
      <c r="W21" s="4"/>
      <c r="X21" s="22">
        <f t="shared" ref="X21:X32" si="20">+P21-T21</f>
        <v>-456887.45803822996</v>
      </c>
      <c r="Y21" s="4"/>
      <c r="Z21" s="32">
        <f t="shared" ref="Z21:Z32" si="21">IF(T21=0,0,X21/T21)</f>
        <v>-0.55303117045384798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18454.100000000002</v>
      </c>
      <c r="E22" s="1"/>
      <c r="F22" s="5">
        <f t="shared" si="14"/>
        <v>0</v>
      </c>
      <c r="G22" s="1"/>
      <c r="H22" s="1">
        <f>SUM(OSRRefH22_0x_0)</f>
        <v>28176.475493376125</v>
      </c>
      <c r="I22" s="1"/>
      <c r="J22" s="5">
        <f t="shared" si="15"/>
        <v>0.43803985282905489</v>
      </c>
      <c r="K22" s="1"/>
      <c r="L22" s="1">
        <f t="shared" si="16"/>
        <v>-9722.3754933761229</v>
      </c>
      <c r="M22" s="1"/>
      <c r="N22" s="5">
        <f t="shared" si="17"/>
        <v>-0.34505293238899631</v>
      </c>
      <c r="O22" s="13"/>
      <c r="P22" s="1">
        <f>SUM(OSRRefP22_0x_0)</f>
        <v>174063.65</v>
      </c>
      <c r="Q22" s="1"/>
      <c r="R22" s="5">
        <f t="shared" si="18"/>
        <v>0</v>
      </c>
      <c r="S22" s="1"/>
      <c r="T22" s="1">
        <f>SUM(OSRRefT22_0x_0)</f>
        <v>270461.90094323002</v>
      </c>
      <c r="U22" s="1"/>
      <c r="V22" s="5">
        <f t="shared" si="19"/>
        <v>0.59335893058199052</v>
      </c>
      <c r="W22" s="1"/>
      <c r="X22" s="1">
        <f t="shared" si="20"/>
        <v>-96398.250943230028</v>
      </c>
      <c r="Y22" s="1"/>
      <c r="Z22" s="5">
        <f t="shared" si="21"/>
        <v>-0.35642081419617039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>
        <v>1560.31</v>
      </c>
      <c r="E23" s="2"/>
      <c r="F23" s="6">
        <f t="shared" si="14"/>
        <v>0</v>
      </c>
      <c r="G23" s="2"/>
      <c r="H23" s="7">
        <v>2637.7353029723099</v>
      </c>
      <c r="I23" s="2"/>
      <c r="J23" s="6">
        <f t="shared" si="15"/>
        <v>4.1007016089986782E-2</v>
      </c>
      <c r="K23" s="2"/>
      <c r="L23" s="7">
        <f t="shared" si="16"/>
        <v>-1077.42530297231</v>
      </c>
      <c r="M23" s="2"/>
      <c r="N23" s="6">
        <f t="shared" si="17"/>
        <v>-0.40846604348746529</v>
      </c>
      <c r="O23" s="11"/>
      <c r="P23" s="7">
        <v>14972.8</v>
      </c>
      <c r="Q23" s="2"/>
      <c r="R23" s="6">
        <f t="shared" si="18"/>
        <v>0</v>
      </c>
      <c r="S23" s="2"/>
      <c r="T23" s="7">
        <v>26081.436703980002</v>
      </c>
      <c r="U23" s="2"/>
      <c r="V23" s="6">
        <f t="shared" si="19"/>
        <v>5.7219347112271432E-2</v>
      </c>
      <c r="W23" s="2"/>
      <c r="X23" s="7">
        <f t="shared" si="20"/>
        <v>-11108.636703980002</v>
      </c>
      <c r="Y23" s="2"/>
      <c r="Z23" s="6">
        <f t="shared" si="21"/>
        <v>-0.42592119560211328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>
        <v>873.13</v>
      </c>
      <c r="E24" s="2"/>
      <c r="F24" s="6">
        <f t="shared" si="14"/>
        <v>0</v>
      </c>
      <c r="G24" s="2"/>
      <c r="H24" s="7">
        <v>1925.4751741499999</v>
      </c>
      <c r="I24" s="2"/>
      <c r="J24" s="6">
        <f t="shared" si="15"/>
        <v>2.9934008677165599E-2</v>
      </c>
      <c r="K24" s="2"/>
      <c r="L24" s="7">
        <f t="shared" si="16"/>
        <v>-1052.3451741499998</v>
      </c>
      <c r="M24" s="2"/>
      <c r="N24" s="6">
        <f t="shared" si="17"/>
        <v>-0.54653790829297866</v>
      </c>
      <c r="O24" s="11"/>
      <c r="P24" s="7">
        <v>8332.7000000000007</v>
      </c>
      <c r="Q24" s="2"/>
      <c r="R24" s="6">
        <f t="shared" si="18"/>
        <v>0</v>
      </c>
      <c r="S24" s="2"/>
      <c r="T24" s="7">
        <v>17834.553315149999</v>
      </c>
      <c r="U24" s="2"/>
      <c r="V24" s="6">
        <f t="shared" si="19"/>
        <v>3.9126736318791613E-2</v>
      </c>
      <c r="W24" s="2"/>
      <c r="X24" s="7">
        <f t="shared" si="20"/>
        <v>-9501.8533151499978</v>
      </c>
      <c r="Y24" s="2"/>
      <c r="Z24" s="6">
        <f t="shared" si="21"/>
        <v>-0.53277775715741726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>
        <v>12477.9</v>
      </c>
      <c r="E25" s="2"/>
      <c r="F25" s="6">
        <f t="shared" si="14"/>
        <v>0</v>
      </c>
      <c r="G25" s="2"/>
      <c r="H25" s="7">
        <v>19310.769230769201</v>
      </c>
      <c r="I25" s="2"/>
      <c r="J25" s="6">
        <f t="shared" si="15"/>
        <v>0.30021095128986386</v>
      </c>
      <c r="K25" s="2"/>
      <c r="L25" s="7">
        <f t="shared" si="16"/>
        <v>-6832.8692307692017</v>
      </c>
      <c r="M25" s="2"/>
      <c r="N25" s="6">
        <f t="shared" si="17"/>
        <v>-0.35383723709368931</v>
      </c>
      <c r="O25" s="11"/>
      <c r="P25" s="7">
        <v>113135.28</v>
      </c>
      <c r="Q25" s="2"/>
      <c r="R25" s="6">
        <f t="shared" si="18"/>
        <v>0</v>
      </c>
      <c r="S25" s="2"/>
      <c r="T25" s="7">
        <v>185310</v>
      </c>
      <c r="U25" s="2"/>
      <c r="V25" s="6">
        <f t="shared" si="19"/>
        <v>0.40654651558197952</v>
      </c>
      <c r="W25" s="2"/>
      <c r="X25" s="7">
        <f t="shared" si="20"/>
        <v>-72174.720000000001</v>
      </c>
      <c r="Y25" s="2"/>
      <c r="Z25" s="6">
        <f t="shared" si="21"/>
        <v>-0.3894809778209487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>
        <v>52.92</v>
      </c>
      <c r="E26" s="2"/>
      <c r="F26" s="6">
        <f t="shared" si="14"/>
        <v>0</v>
      </c>
      <c r="G26" s="2"/>
      <c r="H26" s="7">
        <v>116.69546510000001</v>
      </c>
      <c r="I26" s="2"/>
      <c r="J26" s="6">
        <f t="shared" si="15"/>
        <v>1.8141823440706425E-3</v>
      </c>
      <c r="K26" s="2"/>
      <c r="L26" s="7">
        <f t="shared" si="16"/>
        <v>-63.775465100000005</v>
      </c>
      <c r="M26" s="2"/>
      <c r="N26" s="6">
        <f t="shared" si="17"/>
        <v>-0.54651194067694753</v>
      </c>
      <c r="O26" s="11"/>
      <c r="P26" s="7">
        <v>513.67999999999995</v>
      </c>
      <c r="Q26" s="2"/>
      <c r="R26" s="6">
        <f t="shared" si="18"/>
        <v>0</v>
      </c>
      <c r="S26" s="2"/>
      <c r="T26" s="7">
        <v>1080.8820191</v>
      </c>
      <c r="U26" s="2"/>
      <c r="V26" s="6">
        <f t="shared" si="19"/>
        <v>2.3713173526540374E-3</v>
      </c>
      <c r="W26" s="2"/>
      <c r="X26" s="7">
        <f t="shared" si="20"/>
        <v>-567.20201910000003</v>
      </c>
      <c r="Y26" s="2"/>
      <c r="Z26" s="6">
        <f t="shared" si="21"/>
        <v>-0.52475849267275509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>
        <v>494.19</v>
      </c>
      <c r="E27" s="2"/>
      <c r="F27" s="6">
        <f t="shared" si="14"/>
        <v>0</v>
      </c>
      <c r="G27" s="2"/>
      <c r="H27" s="7">
        <v>808.168461538462</v>
      </c>
      <c r="I27" s="2"/>
      <c r="J27" s="6">
        <f t="shared" si="15"/>
        <v>1.2564026825733194E-2</v>
      </c>
      <c r="K27" s="2"/>
      <c r="L27" s="7">
        <f t="shared" si="16"/>
        <v>-313.978461538462</v>
      </c>
      <c r="M27" s="2"/>
      <c r="N27" s="6">
        <f t="shared" si="17"/>
        <v>-0.38850620443757478</v>
      </c>
      <c r="O27" s="11"/>
      <c r="P27" s="7">
        <v>4996.28</v>
      </c>
      <c r="Q27" s="2"/>
      <c r="R27" s="6">
        <f t="shared" si="18"/>
        <v>0</v>
      </c>
      <c r="S27" s="2"/>
      <c r="T27" s="7">
        <v>7879.6425000000099</v>
      </c>
      <c r="U27" s="2"/>
      <c r="V27" s="6">
        <f t="shared" si="19"/>
        <v>1.7286931101433718E-2</v>
      </c>
      <c r="W27" s="2"/>
      <c r="X27" s="7">
        <f t="shared" si="20"/>
        <v>-2883.3625000000102</v>
      </c>
      <c r="Y27" s="2"/>
      <c r="Z27" s="6">
        <f t="shared" si="21"/>
        <v>-0.36592554801820087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"6117", " - ", "RETIREMENT STAFF HOURLY")</f>
        <v xml:space="preserve">          6117 - RETIREMENT STAFF HOURLY</v>
      </c>
      <c r="C29" s="11"/>
      <c r="D29" s="7">
        <v>797.15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797.15</v>
      </c>
      <c r="M29" s="2"/>
      <c r="N29" s="6">
        <f t="shared" si="17"/>
        <v>0</v>
      </c>
      <c r="O29" s="11"/>
      <c r="P29" s="7">
        <v>5382.21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5382.21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>
        <v>1248.1600000000001</v>
      </c>
      <c r="E30" s="2"/>
      <c r="F30" s="6">
        <f t="shared" si="14"/>
        <v>0</v>
      </c>
      <c r="G30" s="2"/>
      <c r="H30" s="7">
        <v>1943.1995692307701</v>
      </c>
      <c r="I30" s="2"/>
      <c r="J30" s="6">
        <f t="shared" si="15"/>
        <v>3.0209557384969374E-2</v>
      </c>
      <c r="K30" s="2"/>
      <c r="L30" s="7">
        <f t="shared" si="16"/>
        <v>-695.03956923076998</v>
      </c>
      <c r="M30" s="2"/>
      <c r="N30" s="6">
        <f t="shared" si="17"/>
        <v>-0.35767791442332736</v>
      </c>
      <c r="O30" s="11"/>
      <c r="P30" s="7">
        <v>11754.53</v>
      </c>
      <c r="Q30" s="2"/>
      <c r="R30" s="6">
        <f t="shared" si="18"/>
        <v>0</v>
      </c>
      <c r="S30" s="2"/>
      <c r="T30" s="7">
        <v>18946.195800000001</v>
      </c>
      <c r="U30" s="2"/>
      <c r="V30" s="6">
        <f t="shared" si="19"/>
        <v>4.1565538211774514E-2</v>
      </c>
      <c r="W30" s="2"/>
      <c r="X30" s="7">
        <f t="shared" si="20"/>
        <v>-7191.6658000000007</v>
      </c>
      <c r="Y30" s="2"/>
      <c r="Z30" s="6">
        <f t="shared" si="21"/>
        <v>-0.37958363124274269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>
        <v>950.34</v>
      </c>
      <c r="E31" s="2"/>
      <c r="F31" s="6">
        <f t="shared" si="14"/>
        <v>0</v>
      </c>
      <c r="G31" s="2"/>
      <c r="H31" s="7">
        <v>1434.4322896153799</v>
      </c>
      <c r="I31" s="2"/>
      <c r="J31" s="6">
        <f t="shared" si="15"/>
        <v>2.2300110217265405E-2</v>
      </c>
      <c r="K31" s="2"/>
      <c r="L31" s="7">
        <f t="shared" si="16"/>
        <v>-484.09228961537985</v>
      </c>
      <c r="M31" s="2"/>
      <c r="N31" s="6">
        <f t="shared" si="17"/>
        <v>-0.3374800561309042</v>
      </c>
      <c r="O31" s="11"/>
      <c r="P31" s="7">
        <v>9003.39</v>
      </c>
      <c r="Q31" s="2"/>
      <c r="R31" s="6">
        <f t="shared" si="18"/>
        <v>0</v>
      </c>
      <c r="S31" s="2"/>
      <c r="T31" s="7">
        <v>13329.190605</v>
      </c>
      <c r="U31" s="2"/>
      <c r="V31" s="6">
        <f t="shared" si="19"/>
        <v>2.9242544903085681E-2</v>
      </c>
      <c r="W31" s="2"/>
      <c r="X31" s="7">
        <f t="shared" si="20"/>
        <v>-4325.8006050000004</v>
      </c>
      <c r="Y31" s="2"/>
      <c r="Z31" s="6">
        <f t="shared" si="21"/>
        <v>-0.32453588017394852</v>
      </c>
    </row>
    <row r="32" spans="1:26" s="24" customFormat="1" hidden="1" outlineLevel="2" x14ac:dyDescent="0.25">
      <c r="A32" s="26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>
        <v>5972.78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5972.78</v>
      </c>
      <c r="Y32" s="2"/>
      <c r="Z32" s="6">
        <f t="shared" si="21"/>
        <v>0</v>
      </c>
    </row>
    <row r="33" spans="1:26" s="25" customFormat="1" outlineLevel="1" collapsed="1" x14ac:dyDescent="0.25">
      <c r="A33" s="27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21118.91</v>
      </c>
      <c r="E33" s="1"/>
      <c r="F33" s="5">
        <f t="shared" ref="F33:F43" si="22">IF(D$12=0,0,D33/D$12)</f>
        <v>0</v>
      </c>
      <c r="G33" s="1"/>
      <c r="H33" s="1">
        <f>SUM(OSRRefH22_1x_0)</f>
        <v>41505.239333461548</v>
      </c>
      <c r="I33" s="1"/>
      <c r="J33" s="5">
        <f t="shared" ref="J33:J43" si="23">IF(H$12=0,0,H33/H$12)</f>
        <v>0.64525277242493551</v>
      </c>
      <c r="K33" s="1"/>
      <c r="L33" s="1">
        <f t="shared" ref="L33:L43" si="24">+D33-H33</f>
        <v>-20386.329333461548</v>
      </c>
      <c r="M33" s="1"/>
      <c r="N33" s="5">
        <f t="shared" ref="N33:N43" si="25">IF(H33=0,0,L33/H33)</f>
        <v>-0.49117484107665604</v>
      </c>
      <c r="O33" s="13"/>
      <c r="P33" s="1">
        <f>SUM(OSRRefP22_1x_0)</f>
        <v>184384.28999999998</v>
      </c>
      <c r="Q33" s="1"/>
      <c r="R33" s="5">
        <f t="shared" ref="R33:R43" si="26">IF(P$12=0,0,P33/P$12)</f>
        <v>0</v>
      </c>
      <c r="S33" s="1"/>
      <c r="T33" s="1">
        <f>SUM(OSRRefT22_1x_0)</f>
        <v>383448.46709499991</v>
      </c>
      <c r="U33" s="1"/>
      <c r="V33" s="5">
        <f t="shared" ref="V33:V43" si="27">IF(T$12=0,0,T33/T$12)</f>
        <v>0.84123705252130776</v>
      </c>
      <c r="W33" s="1"/>
      <c r="X33" s="1">
        <f t="shared" ref="X33:X43" si="28">+P33-T33</f>
        <v>-199064.17709499993</v>
      </c>
      <c r="Y33" s="1"/>
      <c r="Z33" s="5">
        <f t="shared" ref="Z33:Z43" si="29">IF(T33=0,0,X33/T33)</f>
        <v>-0.51914192956124527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4555</v>
      </c>
      <c r="E35" s="2"/>
      <c r="F35" s="6">
        <f t="shared" si="22"/>
        <v>0</v>
      </c>
      <c r="G35" s="2"/>
      <c r="H35" s="7">
        <v>8337.7115384615408</v>
      </c>
      <c r="I35" s="2"/>
      <c r="J35" s="6">
        <f t="shared" si="23"/>
        <v>0.12962053881073224</v>
      </c>
      <c r="K35" s="2"/>
      <c r="L35" s="7">
        <f t="shared" si="24"/>
        <v>-3782.7115384615408</v>
      </c>
      <c r="M35" s="2"/>
      <c r="N35" s="6">
        <f t="shared" si="25"/>
        <v>-0.45368702443254827</v>
      </c>
      <c r="O35" s="11"/>
      <c r="P35" s="7">
        <v>39032.99</v>
      </c>
      <c r="Q35" s="2"/>
      <c r="R35" s="6">
        <f t="shared" si="26"/>
        <v>0</v>
      </c>
      <c r="S35" s="2"/>
      <c r="T35" s="7">
        <v>81292.687499999898</v>
      </c>
      <c r="U35" s="2"/>
      <c r="V35" s="6">
        <f t="shared" si="27"/>
        <v>0.17834579270098591</v>
      </c>
      <c r="W35" s="2"/>
      <c r="X35" s="7">
        <f t="shared" si="28"/>
        <v>-42259.6974999999</v>
      </c>
      <c r="Y35" s="2"/>
      <c r="Z35" s="6">
        <f t="shared" si="29"/>
        <v>-0.51984623463211199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>
        <v>15569.91</v>
      </c>
      <c r="E37" s="2"/>
      <c r="F37" s="6">
        <f t="shared" si="22"/>
        <v>0</v>
      </c>
      <c r="G37" s="2"/>
      <c r="H37" s="7">
        <v>23063.825919999999</v>
      </c>
      <c r="I37" s="2"/>
      <c r="J37" s="6">
        <f t="shared" si="23"/>
        <v>0.35855708475841053</v>
      </c>
      <c r="K37" s="2"/>
      <c r="L37" s="7">
        <f t="shared" si="24"/>
        <v>-7493.9159199999995</v>
      </c>
      <c r="M37" s="2"/>
      <c r="N37" s="6">
        <f t="shared" si="25"/>
        <v>-0.32492076318966595</v>
      </c>
      <c r="O37" s="11"/>
      <c r="P37" s="7">
        <v>141741.29999999999</v>
      </c>
      <c r="Q37" s="2"/>
      <c r="R37" s="6">
        <f t="shared" si="26"/>
        <v>0</v>
      </c>
      <c r="S37" s="2"/>
      <c r="T37" s="7">
        <v>224872.30272000001</v>
      </c>
      <c r="U37" s="2"/>
      <c r="V37" s="6">
        <f t="shared" si="27"/>
        <v>0.49334116411263346</v>
      </c>
      <c r="W37" s="2"/>
      <c r="X37" s="7">
        <f t="shared" si="28"/>
        <v>-83131.002720000019</v>
      </c>
      <c r="Y37" s="2"/>
      <c r="Z37" s="6">
        <f t="shared" si="29"/>
        <v>-0.36968093319838807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3128.4318750000002</v>
      </c>
      <c r="I38" s="2"/>
      <c r="J38" s="6">
        <f t="shared" si="23"/>
        <v>4.8635530672843735E-2</v>
      </c>
      <c r="K38" s="2"/>
      <c r="L38" s="7">
        <f t="shared" si="24"/>
        <v>-3128.4318750000002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22939.954375000001</v>
      </c>
      <c r="U38" s="2"/>
      <c r="V38" s="6">
        <f t="shared" si="27"/>
        <v>5.0327335377291227E-2</v>
      </c>
      <c r="W38" s="2"/>
      <c r="X38" s="7">
        <f t="shared" si="28"/>
        <v>-22939.954375000001</v>
      </c>
      <c r="Y38" s="2"/>
      <c r="Z38" s="6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>
        <v>994</v>
      </c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994</v>
      </c>
      <c r="M40" s="2"/>
      <c r="N40" s="6">
        <f t="shared" si="25"/>
        <v>0</v>
      </c>
      <c r="O40" s="11"/>
      <c r="P40" s="7">
        <v>3610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1.0108267608569267E-2</v>
      </c>
      <c r="W40" s="2"/>
      <c r="X40" s="7">
        <f t="shared" si="28"/>
        <v>-997.5</v>
      </c>
      <c r="Y40" s="2"/>
      <c r="Z40" s="6">
        <f t="shared" si="29"/>
        <v>-0.21649484536082475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6975.27</v>
      </c>
      <c r="I41" s="2"/>
      <c r="J41" s="6">
        <f t="shared" si="23"/>
        <v>0.10843961818294882</v>
      </c>
      <c r="K41" s="2"/>
      <c r="L41" s="7">
        <f t="shared" si="24"/>
        <v>-6975.27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49736.022499999999</v>
      </c>
      <c r="U41" s="2"/>
      <c r="V41" s="6">
        <f t="shared" si="27"/>
        <v>0.10911449272182794</v>
      </c>
      <c r="W41" s="2"/>
      <c r="X41" s="7">
        <f t="shared" si="28"/>
        <v>-49736.022499999999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4.6638890616255207E-3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3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2800</v>
      </c>
      <c r="U44" s="1"/>
      <c r="V44" s="5">
        <f t="shared" ref="V44:V69" si="35">IF(T$12=0,0,T44/T$12)</f>
        <v>6.1428430393909812E-3</v>
      </c>
      <c r="W44" s="1"/>
      <c r="X44" s="1">
        <f t="shared" ref="X44:X69" si="36">+P44-T44</f>
        <v>-2800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4.6638890616255207E-3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2800</v>
      </c>
      <c r="U45" s="2"/>
      <c r="V45" s="6">
        <f t="shared" si="35"/>
        <v>6.1428430393909812E-3</v>
      </c>
      <c r="W45" s="2"/>
      <c r="X45" s="7">
        <f t="shared" si="36"/>
        <v>-2800</v>
      </c>
      <c r="Y45" s="2"/>
      <c r="Z45" s="6">
        <f t="shared" si="37"/>
        <v>-1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1.2437037497668054E-4</v>
      </c>
      <c r="K46" s="1"/>
      <c r="L46" s="1">
        <f t="shared" si="32"/>
        <v>-8</v>
      </c>
      <c r="M46" s="1"/>
      <c r="N46" s="5">
        <f t="shared" si="33"/>
        <v>-1</v>
      </c>
      <c r="O46" s="13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64</v>
      </c>
      <c r="U46" s="1"/>
      <c r="V46" s="5">
        <f t="shared" si="35"/>
        <v>1.4040784090036529E-4</v>
      </c>
      <c r="W46" s="1"/>
      <c r="X46" s="1">
        <f t="shared" si="36"/>
        <v>-34.260000000000005</v>
      </c>
      <c r="Y46" s="1"/>
      <c r="Z46" s="5">
        <f t="shared" si="37"/>
        <v>-0.53531250000000008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1.2437037497668054E-4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64</v>
      </c>
      <c r="U47" s="2"/>
      <c r="V47" s="6">
        <f t="shared" si="35"/>
        <v>1.4040784090036529E-4</v>
      </c>
      <c r="W47" s="2"/>
      <c r="X47" s="7">
        <f t="shared" si="36"/>
        <v>-34.260000000000005</v>
      </c>
      <c r="Y47" s="2"/>
      <c r="Z47" s="6">
        <f t="shared" si="37"/>
        <v>-0.53531250000000008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1.554629687208507E-4</v>
      </c>
      <c r="K48" s="1"/>
      <c r="L48" s="1">
        <f t="shared" si="32"/>
        <v>-10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80</v>
      </c>
      <c r="U48" s="1"/>
      <c r="V48" s="5">
        <f t="shared" si="35"/>
        <v>1.755098011254566E-4</v>
      </c>
      <c r="W48" s="1"/>
      <c r="X48" s="1">
        <f t="shared" si="36"/>
        <v>-80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10</v>
      </c>
      <c r="I49" s="2"/>
      <c r="J49" s="6">
        <f t="shared" si="31"/>
        <v>1.554629687208507E-4</v>
      </c>
      <c r="K49" s="2"/>
      <c r="L49" s="7">
        <f t="shared" si="32"/>
        <v>-10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80</v>
      </c>
      <c r="U49" s="2"/>
      <c r="V49" s="6">
        <f t="shared" si="35"/>
        <v>1.755098011254566E-4</v>
      </c>
      <c r="W49" s="2"/>
      <c r="X49" s="7">
        <f t="shared" si="36"/>
        <v>-80</v>
      </c>
      <c r="Y49" s="2"/>
      <c r="Z49" s="6">
        <f t="shared" si="37"/>
        <v>-1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3.3113612337541199E-3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3"/>
      <c r="P50" s="1">
        <f>SUM(OSRRefP22_5x_0)</f>
        <v>1917.18</v>
      </c>
      <c r="Q50" s="1"/>
      <c r="R50" s="5">
        <f t="shared" si="34"/>
        <v>0</v>
      </c>
      <c r="S50" s="1"/>
      <c r="T50" s="1">
        <f>SUM(OSRRefT22_5x_0)</f>
        <v>1917</v>
      </c>
      <c r="U50" s="1"/>
      <c r="V50" s="5">
        <f t="shared" si="35"/>
        <v>4.2056536094687534E-3</v>
      </c>
      <c r="W50" s="1"/>
      <c r="X50" s="1">
        <f t="shared" si="36"/>
        <v>0.18000000000006366</v>
      </c>
      <c r="Y50" s="1"/>
      <c r="Z50" s="5">
        <f t="shared" si="37"/>
        <v>9.3896713615056678E-5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3.3113612337541199E-3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1917.18</v>
      </c>
      <c r="Q51" s="2"/>
      <c r="R51" s="6">
        <f t="shared" si="34"/>
        <v>0</v>
      </c>
      <c r="S51" s="2"/>
      <c r="T51" s="7">
        <v>1917</v>
      </c>
      <c r="U51" s="2"/>
      <c r="V51" s="6">
        <f t="shared" si="35"/>
        <v>4.2056536094687534E-3</v>
      </c>
      <c r="W51" s="2"/>
      <c r="X51" s="7">
        <f t="shared" si="36"/>
        <v>0.18000000000006366</v>
      </c>
      <c r="Y51" s="2"/>
      <c r="Z51" s="6">
        <f t="shared" si="37"/>
        <v>9.3896713615056678E-5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4.155525153908339E-2</v>
      </c>
      <c r="K52" s="1"/>
      <c r="L52" s="1">
        <f t="shared" si="32"/>
        <v>-2673</v>
      </c>
      <c r="M52" s="1"/>
      <c r="N52" s="5">
        <f t="shared" si="33"/>
        <v>-1</v>
      </c>
      <c r="O52" s="13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21384</v>
      </c>
      <c r="U52" s="1"/>
      <c r="V52" s="5">
        <f t="shared" si="35"/>
        <v>4.6913769840834549E-2</v>
      </c>
      <c r="W52" s="1"/>
      <c r="X52" s="1">
        <f t="shared" si="36"/>
        <v>-21384</v>
      </c>
      <c r="Y52" s="1"/>
      <c r="Z52" s="5">
        <f t="shared" si="37"/>
        <v>-1</v>
      </c>
    </row>
    <row r="53" spans="1:26" s="24" customFormat="1" hidden="1" outlineLevel="2" x14ac:dyDescent="0.25">
      <c r="A53" s="26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4.155525153908339E-2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21384</v>
      </c>
      <c r="U53" s="2"/>
      <c r="V53" s="6">
        <f t="shared" si="35"/>
        <v>4.6913769840834549E-2</v>
      </c>
      <c r="W53" s="2"/>
      <c r="X53" s="7">
        <f t="shared" si="36"/>
        <v>-21384</v>
      </c>
      <c r="Y53" s="2"/>
      <c r="Z53" s="6">
        <f t="shared" si="37"/>
        <v>-1</v>
      </c>
    </row>
    <row r="54" spans="1:26" s="25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7.7731484360425349E-4</v>
      </c>
      <c r="K54" s="1"/>
      <c r="L54" s="1">
        <f t="shared" si="32"/>
        <v>-50</v>
      </c>
      <c r="M54" s="1"/>
      <c r="N54" s="5">
        <f t="shared" si="33"/>
        <v>-1</v>
      </c>
      <c r="O54" s="13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400</v>
      </c>
      <c r="U54" s="1"/>
      <c r="V54" s="5">
        <f t="shared" si="35"/>
        <v>8.7754900562728297E-4</v>
      </c>
      <c r="W54" s="1"/>
      <c r="X54" s="1">
        <f t="shared" si="36"/>
        <v>-400</v>
      </c>
      <c r="Y54" s="1"/>
      <c r="Z54" s="5">
        <f t="shared" si="37"/>
        <v>-1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7.7731484360425349E-4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400</v>
      </c>
      <c r="U55" s="2"/>
      <c r="V55" s="6">
        <f t="shared" si="35"/>
        <v>8.7754900562728297E-4</v>
      </c>
      <c r="W55" s="2"/>
      <c r="X55" s="7">
        <f t="shared" si="36"/>
        <v>-400</v>
      </c>
      <c r="Y55" s="2"/>
      <c r="Z55" s="6">
        <f t="shared" si="37"/>
        <v>-1</v>
      </c>
    </row>
    <row r="56" spans="1:26" s="25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3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6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5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436.32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1.554629687208507E-4</v>
      </c>
      <c r="K58" s="1"/>
      <c r="L58" s="1">
        <f t="shared" si="32"/>
        <v>426.32</v>
      </c>
      <c r="M58" s="1"/>
      <c r="N58" s="5">
        <f t="shared" si="33"/>
        <v>42.631999999999998</v>
      </c>
      <c r="O58" s="13"/>
      <c r="P58" s="1">
        <f>SUM(OSRRefP22_9x_0)</f>
        <v>1875.87</v>
      </c>
      <c r="Q58" s="1"/>
      <c r="R58" s="5">
        <f t="shared" si="34"/>
        <v>0</v>
      </c>
      <c r="S58" s="1"/>
      <c r="T58" s="1">
        <f>SUM(OSRRefT22_9x_0)</f>
        <v>1680</v>
      </c>
      <c r="U58" s="1"/>
      <c r="V58" s="5">
        <f t="shared" si="35"/>
        <v>3.6857058236345885E-3</v>
      </c>
      <c r="W58" s="1"/>
      <c r="X58" s="1">
        <f t="shared" si="36"/>
        <v>195.86999999999989</v>
      </c>
      <c r="Y58" s="1"/>
      <c r="Z58" s="5">
        <f t="shared" si="37"/>
        <v>0.11658928571428565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7">
        <v>436.32</v>
      </c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1.554629687208507E-4</v>
      </c>
      <c r="K59" s="2"/>
      <c r="L59" s="7">
        <f t="shared" si="32"/>
        <v>426.32</v>
      </c>
      <c r="M59" s="2"/>
      <c r="N59" s="6">
        <f t="shared" si="33"/>
        <v>42.631999999999998</v>
      </c>
      <c r="O59" s="11"/>
      <c r="P59" s="7">
        <v>1875.87</v>
      </c>
      <c r="Q59" s="2"/>
      <c r="R59" s="6">
        <f t="shared" si="34"/>
        <v>0</v>
      </c>
      <c r="S59" s="2"/>
      <c r="T59" s="7">
        <v>1680</v>
      </c>
      <c r="U59" s="2"/>
      <c r="V59" s="6">
        <f t="shared" si="35"/>
        <v>3.6857058236345885E-3</v>
      </c>
      <c r="W59" s="2"/>
      <c r="X59" s="7">
        <f t="shared" si="36"/>
        <v>195.86999999999989</v>
      </c>
      <c r="Y59" s="2"/>
      <c r="Z59" s="6">
        <f t="shared" si="37"/>
        <v>0.11658928571428565</v>
      </c>
    </row>
    <row r="60" spans="1:26" s="25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1.0882407810459549E-4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3"/>
      <c r="P60" s="1">
        <f>SUM(OSRRefP22_10x_0)</f>
        <v>53.1</v>
      </c>
      <c r="Q60" s="1"/>
      <c r="R60" s="5">
        <f t="shared" si="34"/>
        <v>0</v>
      </c>
      <c r="S60" s="1"/>
      <c r="T60" s="1">
        <f>SUM(OSRRefT22_10x_0)</f>
        <v>63</v>
      </c>
      <c r="U60" s="1"/>
      <c r="V60" s="5">
        <f t="shared" si="35"/>
        <v>1.3821396838629708E-4</v>
      </c>
      <c r="W60" s="1"/>
      <c r="X60" s="1">
        <f t="shared" si="36"/>
        <v>-9.8999999999999986</v>
      </c>
      <c r="Y60" s="1"/>
      <c r="Z60" s="5">
        <f t="shared" si="37"/>
        <v>-0.15714285714285711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1.0882407810459549E-4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53.1</v>
      </c>
      <c r="Q61" s="2"/>
      <c r="R61" s="6">
        <f t="shared" si="34"/>
        <v>0</v>
      </c>
      <c r="S61" s="2"/>
      <c r="T61" s="7">
        <v>63</v>
      </c>
      <c r="U61" s="2"/>
      <c r="V61" s="6">
        <f t="shared" si="35"/>
        <v>1.3821396838629708E-4</v>
      </c>
      <c r="W61" s="2"/>
      <c r="X61" s="7">
        <f t="shared" si="36"/>
        <v>-9.8999999999999986</v>
      </c>
      <c r="Y61" s="2"/>
      <c r="Z61" s="6">
        <f t="shared" si="37"/>
        <v>-0.15714285714285711</v>
      </c>
    </row>
    <row r="62" spans="1:26" s="25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5146</v>
      </c>
      <c r="I62" s="1"/>
      <c r="J62" s="5">
        <f t="shared" si="31"/>
        <v>8.0001243703749766E-2</v>
      </c>
      <c r="K62" s="1"/>
      <c r="L62" s="1">
        <f t="shared" si="32"/>
        <v>-5146</v>
      </c>
      <c r="M62" s="1"/>
      <c r="N62" s="5">
        <f t="shared" si="33"/>
        <v>-1</v>
      </c>
      <c r="O62" s="13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36465</v>
      </c>
      <c r="U62" s="1"/>
      <c r="V62" s="5">
        <f t="shared" si="35"/>
        <v>7.9999561225497187E-2</v>
      </c>
      <c r="W62" s="1"/>
      <c r="X62" s="1">
        <f t="shared" si="36"/>
        <v>-36465</v>
      </c>
      <c r="Y62" s="1"/>
      <c r="Z62" s="5">
        <f t="shared" si="37"/>
        <v>-1</v>
      </c>
    </row>
    <row r="63" spans="1:26" s="24" customFormat="1" hidden="1" outlineLevel="2" x14ac:dyDescent="0.25">
      <c r="A63" s="26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5146</v>
      </c>
      <c r="I63" s="2"/>
      <c r="J63" s="6">
        <f t="shared" si="31"/>
        <v>8.0001243703749766E-2</v>
      </c>
      <c r="K63" s="2"/>
      <c r="L63" s="7">
        <f t="shared" si="32"/>
        <v>-5146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36465</v>
      </c>
      <c r="U63" s="2"/>
      <c r="V63" s="6">
        <f t="shared" si="35"/>
        <v>7.9999561225497187E-2</v>
      </c>
      <c r="W63" s="2"/>
      <c r="X63" s="7">
        <f t="shared" si="36"/>
        <v>-36465</v>
      </c>
      <c r="Y63" s="2"/>
      <c r="Z63" s="6">
        <f t="shared" si="37"/>
        <v>-1</v>
      </c>
    </row>
    <row r="64" spans="1:26" s="25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72.319999999999993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3.109259374417014E-4</v>
      </c>
      <c r="K64" s="1"/>
      <c r="L64" s="1">
        <f t="shared" si="32"/>
        <v>52.319999999999993</v>
      </c>
      <c r="M64" s="1"/>
      <c r="N64" s="5">
        <f t="shared" si="33"/>
        <v>2.6159999999999997</v>
      </c>
      <c r="O64" s="13"/>
      <c r="P64" s="1">
        <f>SUM(OSRRefP22_12x_0)</f>
        <v>216.99</v>
      </c>
      <c r="Q64" s="1"/>
      <c r="R64" s="5">
        <f t="shared" si="34"/>
        <v>0</v>
      </c>
      <c r="S64" s="1"/>
      <c r="T64" s="1">
        <f>SUM(OSRRefT22_12x_0)</f>
        <v>180</v>
      </c>
      <c r="U64" s="1"/>
      <c r="V64" s="5">
        <f t="shared" si="35"/>
        <v>3.9489705253227737E-4</v>
      </c>
      <c r="W64" s="1"/>
      <c r="X64" s="1">
        <f t="shared" si="36"/>
        <v>36.990000000000009</v>
      </c>
      <c r="Y64" s="1"/>
      <c r="Z64" s="5">
        <f t="shared" si="37"/>
        <v>0.20550000000000004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7">
        <v>72.319999999999993</v>
      </c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3.109259374417014E-4</v>
      </c>
      <c r="K65" s="2"/>
      <c r="L65" s="7">
        <f t="shared" si="32"/>
        <v>52.319999999999993</v>
      </c>
      <c r="M65" s="2"/>
      <c r="N65" s="6">
        <f t="shared" si="33"/>
        <v>2.6159999999999997</v>
      </c>
      <c r="O65" s="11"/>
      <c r="P65" s="7">
        <v>216.99</v>
      </c>
      <c r="Q65" s="2"/>
      <c r="R65" s="6">
        <f t="shared" si="34"/>
        <v>0</v>
      </c>
      <c r="S65" s="2"/>
      <c r="T65" s="7">
        <v>180</v>
      </c>
      <c r="U65" s="2"/>
      <c r="V65" s="6">
        <f t="shared" si="35"/>
        <v>3.9489705253227737E-4</v>
      </c>
      <c r="W65" s="2"/>
      <c r="X65" s="7">
        <f t="shared" si="36"/>
        <v>36.990000000000009</v>
      </c>
      <c r="Y65" s="2"/>
      <c r="Z65" s="6">
        <f t="shared" si="37"/>
        <v>0.20550000000000004</v>
      </c>
    </row>
    <row r="66" spans="1:26" s="25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SUM(OSRRefD22_13x_0)</f>
        <v>1339.28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0.10108202226229712</v>
      </c>
      <c r="K66" s="1"/>
      <c r="L66" s="1">
        <f t="shared" si="32"/>
        <v>-5162.72</v>
      </c>
      <c r="M66" s="1"/>
      <c r="N66" s="5">
        <f t="shared" si="33"/>
        <v>-0.79402030144570901</v>
      </c>
      <c r="O66" s="13"/>
      <c r="P66" s="1">
        <f>SUM(OSRRefP22_13x_0)</f>
        <v>6026.76</v>
      </c>
      <c r="Q66" s="1"/>
      <c r="R66" s="5">
        <f t="shared" si="34"/>
        <v>0</v>
      </c>
      <c r="S66" s="1"/>
      <c r="T66" s="1">
        <f>SUM(OSRRefT22_13x_0)</f>
        <v>56988</v>
      </c>
      <c r="U66" s="1"/>
      <c r="V66" s="5">
        <f t="shared" si="35"/>
        <v>0.125024406831719</v>
      </c>
      <c r="W66" s="1"/>
      <c r="X66" s="1">
        <f t="shared" si="36"/>
        <v>-50961.24</v>
      </c>
      <c r="Y66" s="1"/>
      <c r="Z66" s="5">
        <f t="shared" si="37"/>
        <v>-0.89424510423246995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1339.28</v>
      </c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1.3214352341272309E-2</v>
      </c>
      <c r="K67" s="2"/>
      <c r="L67" s="7">
        <f t="shared" si="32"/>
        <v>489.28</v>
      </c>
      <c r="M67" s="2"/>
      <c r="N67" s="6">
        <f t="shared" si="33"/>
        <v>0.57562352941176465</v>
      </c>
      <c r="O67" s="11"/>
      <c r="P67" s="7">
        <v>5428.89</v>
      </c>
      <c r="Q67" s="2"/>
      <c r="R67" s="6">
        <f t="shared" si="34"/>
        <v>0</v>
      </c>
      <c r="S67" s="2"/>
      <c r="T67" s="7">
        <v>7650</v>
      </c>
      <c r="U67" s="2"/>
      <c r="V67" s="6">
        <f t="shared" si="35"/>
        <v>1.6783124732621786E-2</v>
      </c>
      <c r="W67" s="2"/>
      <c r="X67" s="7">
        <f t="shared" si="36"/>
        <v>-2221.1099999999997</v>
      </c>
      <c r="Y67" s="2"/>
      <c r="Z67" s="6">
        <f t="shared" si="37"/>
        <v>-0.29034117647058821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4152</v>
      </c>
      <c r="I68" s="2"/>
      <c r="J68" s="6">
        <f t="shared" si="31"/>
        <v>6.4548224612897206E-2</v>
      </c>
      <c r="K68" s="2"/>
      <c r="L68" s="7">
        <f t="shared" si="32"/>
        <v>-4152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35838</v>
      </c>
      <c r="U68" s="2"/>
      <c r="V68" s="6">
        <f t="shared" si="35"/>
        <v>7.862400315917642E-2</v>
      </c>
      <c r="W68" s="2"/>
      <c r="X68" s="7">
        <f t="shared" si="36"/>
        <v>-35838</v>
      </c>
      <c r="Y68" s="2"/>
      <c r="Z68" s="6">
        <f t="shared" si="37"/>
        <v>-1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2.3319445308127604E-2</v>
      </c>
      <c r="K69" s="2"/>
      <c r="L69" s="7">
        <f t="shared" si="32"/>
        <v>-1500</v>
      </c>
      <c r="M69" s="2"/>
      <c r="N69" s="6">
        <f t="shared" si="33"/>
        <v>-1</v>
      </c>
      <c r="O69" s="11"/>
      <c r="P69" s="7">
        <v>597.87</v>
      </c>
      <c r="Q69" s="2"/>
      <c r="R69" s="6">
        <f t="shared" si="34"/>
        <v>0</v>
      </c>
      <c r="S69" s="2"/>
      <c r="T69" s="7">
        <v>13500</v>
      </c>
      <c r="U69" s="2"/>
      <c r="V69" s="6">
        <f t="shared" si="35"/>
        <v>2.9617278939920801E-2</v>
      </c>
      <c r="W69" s="2"/>
      <c r="X69" s="7">
        <f t="shared" si="36"/>
        <v>-12902.13</v>
      </c>
      <c r="Y69" s="2"/>
      <c r="Z69" s="6">
        <f t="shared" si="37"/>
        <v>-0.9557133333333333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39.54</v>
      </c>
      <c r="E70" s="1"/>
      <c r="F70" s="5">
        <f t="shared" ref="F70:F77" si="38">IF(D$12=0,0,D70/D$12)</f>
        <v>0</v>
      </c>
      <c r="G70" s="1"/>
      <c r="H70" s="1">
        <f>SUM(OSRRefH22_14x_0)</f>
        <v>5720</v>
      </c>
      <c r="I70" s="1"/>
      <c r="J70" s="5">
        <f t="shared" ref="J70:J77" si="39">IF(H$12=0,0,H70/H$12)</f>
        <v>8.89248181083266E-2</v>
      </c>
      <c r="K70" s="1"/>
      <c r="L70" s="1">
        <f t="shared" ref="L70:L77" si="40">+D70-H70</f>
        <v>-5680.46</v>
      </c>
      <c r="M70" s="1"/>
      <c r="N70" s="5">
        <f t="shared" ref="N70:N77" si="41">IF(H70=0,0,L70/H70)</f>
        <v>-0.99308741258741262</v>
      </c>
      <c r="O70" s="13"/>
      <c r="P70" s="1">
        <f>SUM(OSRRefP22_14x_0)</f>
        <v>96.7</v>
      </c>
      <c r="Q70" s="1"/>
      <c r="R70" s="5">
        <f t="shared" ref="R70:R77" si="42">IF(P$12=0,0,P70/P$12)</f>
        <v>0</v>
      </c>
      <c r="S70" s="1"/>
      <c r="T70" s="1">
        <f>SUM(OSRRefT22_14x_0)</f>
        <v>47160</v>
      </c>
      <c r="U70" s="1"/>
      <c r="V70" s="5">
        <f t="shared" ref="V70:V77" si="43">IF(T$12=0,0,T70/T$12)</f>
        <v>0.10346302776345667</v>
      </c>
      <c r="W70" s="1"/>
      <c r="X70" s="1">
        <f t="shared" ref="X70:X77" si="44">+P70-T70</f>
        <v>-47063.3</v>
      </c>
      <c r="Y70" s="1"/>
      <c r="Z70" s="5">
        <f t="shared" ref="Z70:Z77" si="45">IF(T70=0,0,X70/T70)</f>
        <v>-0.99794953350296867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4.6638890616255209E-2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24000</v>
      </c>
      <c r="U71" s="2"/>
      <c r="V71" s="6">
        <f t="shared" si="43"/>
        <v>5.2652940337636983E-2</v>
      </c>
      <c r="W71" s="2"/>
      <c r="X71" s="7">
        <f t="shared" si="44"/>
        <v>-24000</v>
      </c>
      <c r="Y71" s="2"/>
      <c r="Z71" s="6">
        <f t="shared" si="45"/>
        <v>-1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3.109259374417014E-2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17000</v>
      </c>
      <c r="U72" s="2"/>
      <c r="V72" s="6">
        <f t="shared" si="43"/>
        <v>3.7295832739159526E-2</v>
      </c>
      <c r="W72" s="2"/>
      <c r="X72" s="7">
        <f t="shared" si="44"/>
        <v>-17000</v>
      </c>
      <c r="Y72" s="2"/>
      <c r="Z72" s="6">
        <f t="shared" si="45"/>
        <v>-1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4.6638890616255207E-3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2400</v>
      </c>
      <c r="U73" s="2"/>
      <c r="V73" s="6">
        <f t="shared" si="43"/>
        <v>5.2652940337636978E-3</v>
      </c>
      <c r="W73" s="2"/>
      <c r="X73" s="7">
        <f t="shared" si="44"/>
        <v>-2400</v>
      </c>
      <c r="Y73" s="2"/>
      <c r="Z73" s="6">
        <f t="shared" si="45"/>
        <v>-1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>
        <v>39.54</v>
      </c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3.8865742180212676E-3</v>
      </c>
      <c r="K74" s="2"/>
      <c r="L74" s="7">
        <f t="shared" si="40"/>
        <v>-210.46</v>
      </c>
      <c r="M74" s="2"/>
      <c r="N74" s="6">
        <f t="shared" si="41"/>
        <v>-0.84184000000000003</v>
      </c>
      <c r="O74" s="11"/>
      <c r="P74" s="7">
        <v>96.7</v>
      </c>
      <c r="Q74" s="2"/>
      <c r="R74" s="6">
        <f t="shared" si="42"/>
        <v>0</v>
      </c>
      <c r="S74" s="2"/>
      <c r="T74" s="7">
        <v>2000</v>
      </c>
      <c r="U74" s="2"/>
      <c r="V74" s="6">
        <f t="shared" si="43"/>
        <v>4.3877450281364153E-3</v>
      </c>
      <c r="W74" s="2"/>
      <c r="X74" s="7">
        <f t="shared" si="44"/>
        <v>-1903.3</v>
      </c>
      <c r="Y74" s="2"/>
      <c r="Z74" s="6">
        <f t="shared" si="45"/>
        <v>-0.95165</v>
      </c>
    </row>
    <row r="75" spans="1:26" s="24" customFormat="1" hidden="1" outlineLevel="2" x14ac:dyDescent="0.25">
      <c r="A75" s="26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>
        <v>20</v>
      </c>
      <c r="I75" s="2"/>
      <c r="J75" s="6">
        <f t="shared" si="39"/>
        <v>3.109259374417014E-4</v>
      </c>
      <c r="K75" s="2"/>
      <c r="L75" s="7">
        <f t="shared" si="40"/>
        <v>-20</v>
      </c>
      <c r="M75" s="2"/>
      <c r="N75" s="6">
        <f t="shared" si="41"/>
        <v>-1</v>
      </c>
      <c r="O75" s="11"/>
      <c r="P75" s="7"/>
      <c r="Q75" s="2"/>
      <c r="R75" s="6">
        <f t="shared" si="42"/>
        <v>0</v>
      </c>
      <c r="S75" s="2"/>
      <c r="T75" s="7">
        <v>60</v>
      </c>
      <c r="U75" s="2"/>
      <c r="V75" s="6">
        <f t="shared" si="43"/>
        <v>1.3163235084409246E-4</v>
      </c>
      <c r="W75" s="2"/>
      <c r="X75" s="7">
        <f t="shared" si="44"/>
        <v>-60</v>
      </c>
      <c r="Y75" s="2"/>
      <c r="Z75" s="6">
        <f t="shared" si="45"/>
        <v>-1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1.0969362570341038E-3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2.3319445308127604E-3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1200</v>
      </c>
      <c r="U77" s="2"/>
      <c r="V77" s="6">
        <f t="shared" si="43"/>
        <v>2.6326470168818489E-3</v>
      </c>
      <c r="W77" s="2"/>
      <c r="X77" s="7">
        <f t="shared" si="44"/>
        <v>-1200</v>
      </c>
      <c r="Y77" s="2"/>
      <c r="Z77" s="6">
        <f t="shared" si="45"/>
        <v>-1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2.1764815620919096E-3</v>
      </c>
      <c r="K78" s="1"/>
      <c r="L78" s="1">
        <f t="shared" ref="L78:L80" si="48">+D78-H78</f>
        <v>-140</v>
      </c>
      <c r="M78" s="1"/>
      <c r="N78" s="5">
        <f t="shared" ref="N78:N80" si="49">IF(H78=0,0,L78/H78)</f>
        <v>-1</v>
      </c>
      <c r="O78" s="13"/>
      <c r="P78" s="1">
        <f>SUM(OSRRefP22_15x_0)</f>
        <v>579.63</v>
      </c>
      <c r="Q78" s="1"/>
      <c r="R78" s="5">
        <f t="shared" ref="R78:R80" si="50">IF(P$12=0,0,P78/P$12)</f>
        <v>0</v>
      </c>
      <c r="S78" s="1"/>
      <c r="T78" s="1">
        <f>SUM(OSRRefT22_15x_0)</f>
        <v>1260</v>
      </c>
      <c r="U78" s="1"/>
      <c r="V78" s="5">
        <f t="shared" ref="V78:V80" si="51">IF(T$12=0,0,T78/T$12)</f>
        <v>2.7642793677259414E-3</v>
      </c>
      <c r="W78" s="1"/>
      <c r="X78" s="1">
        <f t="shared" ref="X78:X80" si="52">+P78-T78</f>
        <v>-680.37</v>
      </c>
      <c r="Y78" s="1"/>
      <c r="Z78" s="5">
        <f t="shared" ref="Z78:Z80" si="53">IF(T78=0,0,X78/T78)</f>
        <v>-0.5399761904761905</v>
      </c>
    </row>
    <row r="79" spans="1:26" s="24" customFormat="1" hidden="1" outlineLevel="2" x14ac:dyDescent="0.25">
      <c r="A79" s="26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2.1764815620919096E-3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1260</v>
      </c>
      <c r="U79" s="2"/>
      <c r="V79" s="6">
        <f t="shared" si="51"/>
        <v>2.7642793677259414E-3</v>
      </c>
      <c r="W79" s="2"/>
      <c r="X79" s="7">
        <f t="shared" si="52"/>
        <v>-1260</v>
      </c>
      <c r="Y79" s="2"/>
      <c r="Z79" s="6">
        <f t="shared" si="53"/>
        <v>-1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7">
        <v>0</v>
      </c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>
        <v>579.63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579.63</v>
      </c>
      <c r="Y80" s="2"/>
      <c r="Z80" s="6">
        <f t="shared" si="53"/>
        <v>0</v>
      </c>
    </row>
    <row r="81" spans="1:26" s="25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3.109259374417014E-3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3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1800</v>
      </c>
      <c r="U81" s="1"/>
      <c r="V81" s="5">
        <f t="shared" ref="V81:V82" si="59">IF(T$12=0,0,T81/T$12)</f>
        <v>3.9489705253227736E-3</v>
      </c>
      <c r="W81" s="1"/>
      <c r="X81" s="1">
        <f t="shared" ref="X81:X82" si="60">+P81-T81</f>
        <v>-1800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3.109259374417014E-3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1800</v>
      </c>
      <c r="U82" s="2"/>
      <c r="V82" s="6">
        <f t="shared" si="59"/>
        <v>3.9489705253227736E-3</v>
      </c>
      <c r="W82" s="2"/>
      <c r="X82" s="7">
        <f t="shared" si="60"/>
        <v>-1800</v>
      </c>
      <c r="Y82" s="2"/>
      <c r="Z82" s="6">
        <f t="shared" si="61"/>
        <v>-1</v>
      </c>
    </row>
    <row r="83" spans="1:26" s="59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277</v>
      </c>
      <c r="C86" s="29"/>
      <c r="D86" s="20">
        <f>+D19-D21+D84</f>
        <v>-41679.39</v>
      </c>
      <c r="E86" s="14"/>
      <c r="F86" s="21">
        <f>IF(D$12=0,0,D86/D$12)</f>
        <v>0</v>
      </c>
      <c r="G86" s="14"/>
      <c r="H86" s="20">
        <f>+H19-H21+H84</f>
        <v>-43724.714826837662</v>
      </c>
      <c r="I86" s="14"/>
      <c r="J86" s="21">
        <f>IF(H$12=0,0,H86/H$12)</f>
        <v>-0.67975739734527796</v>
      </c>
      <c r="K86" s="16"/>
      <c r="L86" s="20">
        <f>+D86-H86</f>
        <v>2045.3248268376628</v>
      </c>
      <c r="M86" s="16"/>
      <c r="N86" s="21">
        <f>IF(H86=0,0,L86/H86)</f>
        <v>-4.6777316557414551E-2</v>
      </c>
      <c r="O86" s="28"/>
      <c r="P86" s="20">
        <f>+P19-P21+P84</f>
        <v>-369263.90999999992</v>
      </c>
      <c r="Q86" s="14"/>
      <c r="R86" s="21">
        <f>IF(P$12=0,0,P86/P$12)</f>
        <v>0</v>
      </c>
      <c r="S86" s="14"/>
      <c r="T86" s="20">
        <f>+T19-T21+T84</f>
        <v>-494609.36803822988</v>
      </c>
      <c r="U86" s="14"/>
      <c r="V86" s="21">
        <f>IF(T$12=0,0,T86/T$12)</f>
        <v>-1.0851098977397187</v>
      </c>
      <c r="W86" s="16"/>
      <c r="X86" s="20">
        <f>+P86-T86</f>
        <v>125345.45803822996</v>
      </c>
      <c r="Y86" s="16"/>
      <c r="Z86" s="21">
        <f>IF(T86=0,0,X86/T86)</f>
        <v>-0.25342313780951603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13278</v>
      </c>
      <c r="I88" s="4"/>
      <c r="J88" s="12">
        <f>IF(H$12=0,0,H88/H$12)</f>
        <v>0.20642372986754556</v>
      </c>
      <c r="K88" s="4"/>
      <c r="L88" s="4">
        <f>+D88-H88</f>
        <v>-13278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80606</v>
      </c>
      <c r="U88" s="4"/>
      <c r="V88" s="12">
        <f>IF(T$12=0,0,T88/T$12)</f>
        <v>0.17683928786898193</v>
      </c>
      <c r="W88" s="4"/>
      <c r="X88" s="4">
        <f>+P88-T88</f>
        <v>-80606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126</v>
      </c>
      <c r="C90" s="29"/>
      <c r="D90" s="34">
        <f>+D86-D88</f>
        <v>-41679.39</v>
      </c>
      <c r="E90" s="14"/>
      <c r="F90" s="30">
        <f>IF(D$12=0,0,D90/D$12)</f>
        <v>0</v>
      </c>
      <c r="G90" s="14"/>
      <c r="H90" s="34">
        <f>+H86-H88</f>
        <v>-57002.714826837662</v>
      </c>
      <c r="I90" s="14"/>
      <c r="J90" s="30">
        <f>IF(H$12=0,0,H90/H$12)</f>
        <v>-0.8861811272128236</v>
      </c>
      <c r="K90" s="16"/>
      <c r="L90" s="34">
        <f>D90-H90</f>
        <v>15323.324826837663</v>
      </c>
      <c r="M90" s="16"/>
      <c r="N90" s="30">
        <f>IF(H90=0,0,L90/H90)</f>
        <v>-0.26881745673669616</v>
      </c>
      <c r="O90" s="28"/>
      <c r="P90" s="34">
        <f>+P86-P88</f>
        <v>-369263.90999999992</v>
      </c>
      <c r="Q90" s="14"/>
      <c r="R90" s="30">
        <f>IF(P$12=0,0,P90/P$12)</f>
        <v>0</v>
      </c>
      <c r="S90" s="14"/>
      <c r="T90" s="34">
        <f>+T86-T88</f>
        <v>-575215.36803822988</v>
      </c>
      <c r="U90" s="14"/>
      <c r="V90" s="30">
        <f>IF(T$12=0,0,T90/T$12)</f>
        <v>-1.2619491856087006</v>
      </c>
      <c r="W90" s="16"/>
      <c r="X90" s="34">
        <f>P90-T90</f>
        <v>205951.45803822996</v>
      </c>
      <c r="Y90" s="16"/>
      <c r="Z90" s="30">
        <f>IF(T90=0,0,X90/T90)</f>
        <v>-0.3580423428891108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294</v>
      </c>
      <c r="C93" s="29"/>
      <c r="D93" s="31">
        <f>SUM(D90:D92)</f>
        <v>-41679.39</v>
      </c>
      <c r="E93" s="14"/>
      <c r="F93" s="35">
        <f>IF(D$12=0,0,D93/D$12)</f>
        <v>0</v>
      </c>
      <c r="G93" s="14"/>
      <c r="H93" s="31">
        <f>SUM(H90:H92)</f>
        <v>-57002.714826837662</v>
      </c>
      <c r="I93" s="14"/>
      <c r="J93" s="35">
        <f>IF(H$12=0,0,H93/H$12)</f>
        <v>-0.8861811272128236</v>
      </c>
      <c r="K93" s="16"/>
      <c r="L93" s="31">
        <f>+D93-H93</f>
        <v>15323.324826837663</v>
      </c>
      <c r="M93" s="16"/>
      <c r="N93" s="35">
        <f>IF(H93=0,0,L93/H93)</f>
        <v>-0.26881745673669616</v>
      </c>
      <c r="O93" s="28"/>
      <c r="P93" s="31">
        <f>SUM(P90:P92)</f>
        <v>-369263.90999999992</v>
      </c>
      <c r="Q93" s="14"/>
      <c r="R93" s="35">
        <f>IF(P$12=0,0,P93/P$12)</f>
        <v>0</v>
      </c>
      <c r="S93" s="14"/>
      <c r="T93" s="31">
        <f>SUM(T90:T92)</f>
        <v>-575215.36803822988</v>
      </c>
      <c r="U93" s="14"/>
      <c r="V93" s="35">
        <f>IF(T$12=0,0,T93/T$12)</f>
        <v>-1.2619491856087006</v>
      </c>
      <c r="W93" s="16"/>
      <c r="X93" s="31">
        <f>+P93-T93</f>
        <v>205951.45803822996</v>
      </c>
      <c r="Y93" s="16"/>
      <c r="Z93" s="35">
        <f>IF(T93=0,0,X93/T93)</f>
        <v>-0.3580423428891108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44295.961797766206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3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6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51625</v>
      </c>
      <c r="E12" s="4"/>
      <c r="F12" s="12"/>
      <c r="G12" s="4"/>
      <c r="H12" s="4">
        <f>SUM(OSRRefH13x_0)</f>
        <v>37495</v>
      </c>
      <c r="I12" s="4"/>
      <c r="J12" s="12"/>
      <c r="K12" s="4"/>
      <c r="L12" s="4">
        <f t="shared" ref="L12:L13" si="0">+D12-H12</f>
        <v>14130</v>
      </c>
      <c r="M12" s="4"/>
      <c r="N12" s="12">
        <f t="shared" ref="N12:N13" si="1">IF(H12=0,0,L12/H12)</f>
        <v>0.37685024669955997</v>
      </c>
      <c r="O12" s="10"/>
      <c r="P12" s="4">
        <f>SUM(OSRRefP13x_0)</f>
        <v>443879</v>
      </c>
      <c r="Q12" s="4"/>
      <c r="R12" s="12"/>
      <c r="S12" s="4"/>
      <c r="T12" s="4">
        <f>SUM(OSRRefT13x_0)</f>
        <v>481107</v>
      </c>
      <c r="U12" s="4"/>
      <c r="V12" s="12"/>
      <c r="W12" s="4"/>
      <c r="X12" s="4">
        <f t="shared" ref="X12:X13" si="2">+P12-T12</f>
        <v>-37228</v>
      </c>
      <c r="Y12" s="4"/>
      <c r="Z12" s="12">
        <f t="shared" ref="Z12:Z13" si="3">IF(T12=0,0,X12/T12)</f>
        <v>-7.7379875994321431E-2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--51625</f>
        <v>51625</v>
      </c>
      <c r="E13" s="2"/>
      <c r="F13" s="19"/>
      <c r="G13" s="2"/>
      <c r="H13" s="2">
        <v>37495</v>
      </c>
      <c r="I13" s="2"/>
      <c r="J13" s="19"/>
      <c r="K13" s="2"/>
      <c r="L13" s="2">
        <f t="shared" si="0"/>
        <v>14130</v>
      </c>
      <c r="M13" s="2"/>
      <c r="N13" s="19">
        <f t="shared" si="1"/>
        <v>0.37685024669955997</v>
      </c>
      <c r="O13" s="11"/>
      <c r="P13" s="2">
        <f>--443879</f>
        <v>443879</v>
      </c>
      <c r="Q13" s="2"/>
      <c r="R13" s="19"/>
      <c r="S13" s="2"/>
      <c r="T13" s="2">
        <v>481107</v>
      </c>
      <c r="U13" s="2"/>
      <c r="V13" s="19"/>
      <c r="W13" s="2"/>
      <c r="X13" s="2">
        <f t="shared" si="2"/>
        <v>-37228</v>
      </c>
      <c r="Y13" s="2"/>
      <c r="Z13" s="19">
        <f t="shared" si="3"/>
        <v>-7.7379875994321431E-2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51625</v>
      </c>
      <c r="E17" s="14"/>
      <c r="F17" s="21">
        <f>IF(D$12=0,0,D17/D$12)</f>
        <v>1</v>
      </c>
      <c r="G17" s="14"/>
      <c r="H17" s="20">
        <f>H12-H15</f>
        <v>37495</v>
      </c>
      <c r="I17" s="14"/>
      <c r="J17" s="21">
        <f>IF(H$12=0,0,H17/H$12)</f>
        <v>1</v>
      </c>
      <c r="K17" s="16"/>
      <c r="L17" s="20">
        <f>+D17-H17</f>
        <v>14130</v>
      </c>
      <c r="M17" s="16"/>
      <c r="N17" s="21">
        <f>IF(H17=0,0,L17/H17)</f>
        <v>0.37685024669955997</v>
      </c>
      <c r="O17" s="28"/>
      <c r="P17" s="20">
        <f>P12-P15</f>
        <v>443879</v>
      </c>
      <c r="Q17" s="14"/>
      <c r="R17" s="21">
        <f>IF(P$12=0,0,P17/P$12)</f>
        <v>1</v>
      </c>
      <c r="S17" s="14"/>
      <c r="T17" s="20">
        <f>T12-T15</f>
        <v>481107</v>
      </c>
      <c r="U17" s="14"/>
      <c r="V17" s="21">
        <f>IF(T$12=0,0,T17/T$12)</f>
        <v>1</v>
      </c>
      <c r="W17" s="16"/>
      <c r="X17" s="20">
        <f>+P17-T17</f>
        <v>-37228</v>
      </c>
      <c r="Y17" s="16"/>
      <c r="Z17" s="21">
        <f>IF(T17=0,0,X17/T17)</f>
        <v>-7.7379875994321431E-2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41256.259999999995</v>
      </c>
      <c r="E19" s="22"/>
      <c r="F19" s="32">
        <f t="shared" ref="F19:F30" si="4">IF(D$12=0,0,D19/D$12)</f>
        <v>0.79915273607748172</v>
      </c>
      <c r="G19" s="22"/>
      <c r="H19" s="22">
        <f>SUM(OSRRefH22x_0)</f>
        <v>35409.583151315383</v>
      </c>
      <c r="I19" s="22"/>
      <c r="J19" s="32">
        <f t="shared" ref="J19:J30" si="5">IF(H$12=0,0,H19/H$12)</f>
        <v>0.94438146823084101</v>
      </c>
      <c r="K19" s="4"/>
      <c r="L19" s="22">
        <f t="shared" ref="L19:L30" si="6">+D19-H19</f>
        <v>5846.6768486846122</v>
      </c>
      <c r="M19" s="4"/>
      <c r="N19" s="32">
        <f t="shared" ref="N19:N30" si="7">IF(H19=0,0,L19/H19)</f>
        <v>0.16511566441491482</v>
      </c>
      <c r="O19" s="10"/>
      <c r="P19" s="22">
        <f>SUM(OSRRefP22x_0)</f>
        <v>368137.02</v>
      </c>
      <c r="Q19" s="22"/>
      <c r="R19" s="32">
        <f t="shared" ref="R19:R30" si="8">IF(P$12=0,0,P19/P$12)</f>
        <v>0.82936345265263733</v>
      </c>
      <c r="S19" s="22"/>
      <c r="T19" s="22">
        <f>SUM(OSRRefT22x_0)</f>
        <v>434905.79830340005</v>
      </c>
      <c r="U19" s="22"/>
      <c r="V19" s="32">
        <f t="shared" ref="V19:V30" si="9">IF(T$12=0,0,T19/T$12)</f>
        <v>0.90396896803289095</v>
      </c>
      <c r="W19" s="4"/>
      <c r="X19" s="22">
        <f t="shared" ref="X19:X30" si="10">+P19-T19</f>
        <v>-66768.778303400031</v>
      </c>
      <c r="Y19" s="4"/>
      <c r="Z19" s="32">
        <f t="shared" ref="Z19:Z30" si="11">IF(T19=0,0,X19/T19)</f>
        <v>-0.15352469101094998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4742.75</v>
      </c>
      <c r="E20" s="1"/>
      <c r="F20" s="5">
        <f t="shared" si="4"/>
        <v>9.1869249394673128E-2</v>
      </c>
      <c r="G20" s="1"/>
      <c r="H20" s="1">
        <f>SUM(OSRRefH22_0x_0)</f>
        <v>3669.0498320846159</v>
      </c>
      <c r="I20" s="1"/>
      <c r="J20" s="5">
        <f t="shared" si="5"/>
        <v>9.785437610573719E-2</v>
      </c>
      <c r="K20" s="1"/>
      <c r="L20" s="1">
        <f t="shared" si="6"/>
        <v>1073.7001679153841</v>
      </c>
      <c r="M20" s="1"/>
      <c r="N20" s="5">
        <f t="shared" si="7"/>
        <v>0.29263711779715679</v>
      </c>
      <c r="O20" s="13"/>
      <c r="P20" s="1">
        <f>SUM(OSRRefP22_0x_0)</f>
        <v>38502.97</v>
      </c>
      <c r="Q20" s="1"/>
      <c r="R20" s="5">
        <f t="shared" si="8"/>
        <v>8.6742040060466929E-2</v>
      </c>
      <c r="S20" s="1"/>
      <c r="T20" s="1">
        <f>SUM(OSRRefT22_0x_0)</f>
        <v>37198.762703400003</v>
      </c>
      <c r="U20" s="1"/>
      <c r="V20" s="5">
        <f t="shared" si="9"/>
        <v>7.7319105112584108E-2</v>
      </c>
      <c r="W20" s="1"/>
      <c r="X20" s="1">
        <f t="shared" si="10"/>
        <v>1304.2072965999978</v>
      </c>
      <c r="Y20" s="1"/>
      <c r="Z20" s="5">
        <f t="shared" si="11"/>
        <v>3.5060502065591338E-2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964.58</v>
      </c>
      <c r="E21" s="2"/>
      <c r="F21" s="6">
        <f t="shared" si="4"/>
        <v>1.8684358353510896E-2</v>
      </c>
      <c r="G21" s="2"/>
      <c r="H21" s="7">
        <v>726.12499943076898</v>
      </c>
      <c r="I21" s="2"/>
      <c r="J21" s="6">
        <f t="shared" si="5"/>
        <v>1.9365915440212534E-2</v>
      </c>
      <c r="K21" s="2"/>
      <c r="L21" s="7">
        <f t="shared" si="6"/>
        <v>238.45500056923106</v>
      </c>
      <c r="M21" s="2"/>
      <c r="N21" s="6">
        <f t="shared" si="7"/>
        <v>0.32839387261995256</v>
      </c>
      <c r="O21" s="11"/>
      <c r="P21" s="7">
        <v>9081.65</v>
      </c>
      <c r="Q21" s="2"/>
      <c r="R21" s="6">
        <f t="shared" si="8"/>
        <v>2.0459742407277659E-2</v>
      </c>
      <c r="S21" s="2"/>
      <c r="T21" s="7">
        <v>8848.7184954000004</v>
      </c>
      <c r="U21" s="2"/>
      <c r="V21" s="6">
        <f t="shared" si="9"/>
        <v>1.8392412696967619E-2</v>
      </c>
      <c r="W21" s="2"/>
      <c r="X21" s="7">
        <f t="shared" si="10"/>
        <v>232.93150459999924</v>
      </c>
      <c r="Y21" s="2"/>
      <c r="Z21" s="6">
        <f t="shared" si="11"/>
        <v>2.6323755775606208E-2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34.200000000000003</v>
      </c>
      <c r="E22" s="2"/>
      <c r="F22" s="6">
        <f t="shared" si="4"/>
        <v>6.6246973365617439E-4</v>
      </c>
      <c r="G22" s="2"/>
      <c r="H22" s="7">
        <v>317.70020826923098</v>
      </c>
      <c r="I22" s="2"/>
      <c r="J22" s="6">
        <f t="shared" si="5"/>
        <v>8.4731353052201891E-3</v>
      </c>
      <c r="K22" s="2"/>
      <c r="L22" s="7">
        <f t="shared" si="6"/>
        <v>-283.500208269231</v>
      </c>
      <c r="M22" s="2"/>
      <c r="N22" s="6">
        <f t="shared" si="7"/>
        <v>-0.89235134535694849</v>
      </c>
      <c r="O22" s="11"/>
      <c r="P22" s="7">
        <v>768.08</v>
      </c>
      <c r="Q22" s="2"/>
      <c r="R22" s="6">
        <f t="shared" si="8"/>
        <v>1.730381477835176E-3</v>
      </c>
      <c r="S22" s="2"/>
      <c r="T22" s="7">
        <v>3116.7186799999999</v>
      </c>
      <c r="U22" s="2"/>
      <c r="V22" s="6">
        <f t="shared" si="9"/>
        <v>6.478223513688223E-3</v>
      </c>
      <c r="W22" s="2"/>
      <c r="X22" s="7">
        <f t="shared" si="10"/>
        <v>-2348.63868</v>
      </c>
      <c r="Y22" s="2"/>
      <c r="Z22" s="6">
        <f t="shared" si="11"/>
        <v>-0.75356133200959929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2.3398547215496369E-2</v>
      </c>
      <c r="G23" s="2"/>
      <c r="H23" s="7">
        <v>1025</v>
      </c>
      <c r="I23" s="2"/>
      <c r="J23" s="6">
        <f t="shared" si="5"/>
        <v>2.7336978263768501E-2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11026.85</v>
      </c>
      <c r="Q23" s="2"/>
      <c r="R23" s="6">
        <f t="shared" si="8"/>
        <v>2.484201775709146E-2</v>
      </c>
      <c r="S23" s="2"/>
      <c r="T23" s="7">
        <v>9557.5</v>
      </c>
      <c r="U23" s="2"/>
      <c r="V23" s="6">
        <f t="shared" si="9"/>
        <v>1.9865643193717822E-2</v>
      </c>
      <c r="W23" s="2"/>
      <c r="X23" s="7">
        <f t="shared" si="10"/>
        <v>1469.3500000000004</v>
      </c>
      <c r="Y23" s="2"/>
      <c r="Z23" s="6">
        <f t="shared" si="11"/>
        <v>0.15373790217106989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26.94</v>
      </c>
      <c r="E24" s="2"/>
      <c r="F24" s="6">
        <f t="shared" si="4"/>
        <v>5.2184019370460051E-4</v>
      </c>
      <c r="G24" s="2"/>
      <c r="H24" s="7">
        <v>44.649759000000003</v>
      </c>
      <c r="I24" s="2"/>
      <c r="J24" s="6">
        <f t="shared" si="5"/>
        <v>1.1908190158687825E-3</v>
      </c>
      <c r="K24" s="2"/>
      <c r="L24" s="7">
        <f t="shared" si="6"/>
        <v>-17.709759000000002</v>
      </c>
      <c r="M24" s="2"/>
      <c r="N24" s="6">
        <f t="shared" si="7"/>
        <v>-0.39663728084176225</v>
      </c>
      <c r="O24" s="11"/>
      <c r="P24" s="7">
        <v>346.98</v>
      </c>
      <c r="Q24" s="2"/>
      <c r="R24" s="6">
        <f t="shared" si="8"/>
        <v>7.8169951721077146E-4</v>
      </c>
      <c r="S24" s="2"/>
      <c r="T24" s="7">
        <v>438.025328</v>
      </c>
      <c r="U24" s="2"/>
      <c r="V24" s="6">
        <f t="shared" si="9"/>
        <v>9.104530343561827E-4</v>
      </c>
      <c r="W24" s="2"/>
      <c r="X24" s="7">
        <f t="shared" si="10"/>
        <v>-91.045327999999984</v>
      </c>
      <c r="Y24" s="2"/>
      <c r="Z24" s="6">
        <f t="shared" si="11"/>
        <v>-0.20785402619457655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1.2403874092009685E-2</v>
      </c>
      <c r="G25" s="2"/>
      <c r="H25" s="7">
        <v>560.123953846154</v>
      </c>
      <c r="I25" s="2"/>
      <c r="J25" s="6">
        <f t="shared" si="5"/>
        <v>1.4938630586642326E-2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7060.93</v>
      </c>
      <c r="Q25" s="2"/>
      <c r="R25" s="6">
        <f t="shared" si="8"/>
        <v>1.5907330601357579E-2</v>
      </c>
      <c r="S25" s="2"/>
      <c r="T25" s="7">
        <v>5706.5558000000001</v>
      </c>
      <c r="U25" s="2"/>
      <c r="V25" s="6">
        <f t="shared" si="9"/>
        <v>1.1861302787113885E-2</v>
      </c>
      <c r="W25" s="2"/>
      <c r="X25" s="7">
        <f t="shared" si="10"/>
        <v>1354.3742000000002</v>
      </c>
      <c r="Y25" s="2"/>
      <c r="Z25" s="6">
        <f t="shared" si="11"/>
        <v>0.23733653844232983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116.92</v>
      </c>
      <c r="E27" s="2"/>
      <c r="F27" s="6">
        <f t="shared" si="4"/>
        <v>2.2647941888619856E-3</v>
      </c>
      <c r="G27" s="2"/>
      <c r="H27" s="7"/>
      <c r="I27" s="2"/>
      <c r="J27" s="6">
        <f t="shared" si="5"/>
        <v>0</v>
      </c>
      <c r="K27" s="2"/>
      <c r="L27" s="7">
        <f t="shared" si="6"/>
        <v>116.92</v>
      </c>
      <c r="M27" s="2"/>
      <c r="N27" s="6">
        <f t="shared" si="7"/>
        <v>0</v>
      </c>
      <c r="O27" s="11"/>
      <c r="P27" s="7">
        <v>814.78</v>
      </c>
      <c r="Q27" s="2"/>
      <c r="R27" s="6">
        <f t="shared" si="8"/>
        <v>1.8355903297970842E-3</v>
      </c>
      <c r="S27" s="2"/>
      <c r="T27" s="7"/>
      <c r="U27" s="2"/>
      <c r="V27" s="6">
        <f t="shared" si="9"/>
        <v>0</v>
      </c>
      <c r="W27" s="2"/>
      <c r="X27" s="7">
        <f t="shared" si="10"/>
        <v>814.78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1.0073026634382566E-2</v>
      </c>
      <c r="G28" s="2"/>
      <c r="H28" s="7">
        <v>195.39207692307701</v>
      </c>
      <c r="I28" s="2"/>
      <c r="J28" s="6">
        <f t="shared" si="5"/>
        <v>5.2111502046426729E-3</v>
      </c>
      <c r="K28" s="2"/>
      <c r="L28" s="7">
        <f t="shared" si="6"/>
        <v>324.62792307692297</v>
      </c>
      <c r="M28" s="2"/>
      <c r="N28" s="6">
        <f t="shared" si="7"/>
        <v>1.6614180482083938</v>
      </c>
      <c r="O28" s="11"/>
      <c r="P28" s="7">
        <v>4940.1899999999996</v>
      </c>
      <c r="Q28" s="2"/>
      <c r="R28" s="6">
        <f t="shared" si="8"/>
        <v>1.112958711720987E-2</v>
      </c>
      <c r="S28" s="2"/>
      <c r="T28" s="7">
        <v>1990.6590000000001</v>
      </c>
      <c r="U28" s="2"/>
      <c r="V28" s="6">
        <f t="shared" si="9"/>
        <v>4.1376637629467047E-3</v>
      </c>
      <c r="W28" s="2"/>
      <c r="X28" s="7">
        <f t="shared" si="10"/>
        <v>2949.5309999999995</v>
      </c>
      <c r="Y28" s="2"/>
      <c r="Z28" s="6">
        <f t="shared" si="11"/>
        <v>1.4816857131231413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5.7968038740920094E-3</v>
      </c>
      <c r="G29" s="2"/>
      <c r="H29" s="7">
        <v>450.05883461538502</v>
      </c>
      <c r="I29" s="2"/>
      <c r="J29" s="6">
        <f t="shared" si="5"/>
        <v>1.2003169345656355E-2</v>
      </c>
      <c r="K29" s="2"/>
      <c r="L29" s="7">
        <f t="shared" si="6"/>
        <v>-150.79883461538503</v>
      </c>
      <c r="M29" s="2"/>
      <c r="N29" s="6">
        <f t="shared" si="7"/>
        <v>-0.33506471380404285</v>
      </c>
      <c r="O29" s="11"/>
      <c r="P29" s="7">
        <v>2842.98</v>
      </c>
      <c r="Q29" s="2"/>
      <c r="R29" s="6">
        <f t="shared" si="8"/>
        <v>6.4048535749607442E-3</v>
      </c>
      <c r="S29" s="2"/>
      <c r="T29" s="7">
        <v>4390.5853999999999</v>
      </c>
      <c r="U29" s="2"/>
      <c r="V29" s="6">
        <f t="shared" si="9"/>
        <v>9.1260060651788474E-3</v>
      </c>
      <c r="W29" s="2"/>
      <c r="X29" s="7">
        <f t="shared" si="10"/>
        <v>-1547.6053999999999</v>
      </c>
      <c r="Y29" s="2"/>
      <c r="Z29" s="6">
        <f t="shared" si="11"/>
        <v>-0.35248270082618138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932.53</v>
      </c>
      <c r="E30" s="2"/>
      <c r="F30" s="6">
        <f t="shared" si="4"/>
        <v>1.8063535108958837E-2</v>
      </c>
      <c r="G30" s="2"/>
      <c r="H30" s="7">
        <v>350</v>
      </c>
      <c r="I30" s="2"/>
      <c r="J30" s="6">
        <f t="shared" si="5"/>
        <v>9.3345779437258303E-3</v>
      </c>
      <c r="K30" s="2"/>
      <c r="L30" s="7">
        <f t="shared" si="6"/>
        <v>582.53</v>
      </c>
      <c r="M30" s="2"/>
      <c r="N30" s="6">
        <f t="shared" si="7"/>
        <v>1.6643714285714284</v>
      </c>
      <c r="O30" s="11"/>
      <c r="P30" s="7">
        <v>1620.53</v>
      </c>
      <c r="Q30" s="2"/>
      <c r="R30" s="6">
        <f t="shared" si="8"/>
        <v>3.6508372777265875E-3</v>
      </c>
      <c r="S30" s="2"/>
      <c r="T30" s="7">
        <v>3150</v>
      </c>
      <c r="U30" s="2"/>
      <c r="V30" s="6">
        <f t="shared" si="9"/>
        <v>6.5474000586148197E-3</v>
      </c>
      <c r="W30" s="2"/>
      <c r="X30" s="7">
        <f t="shared" si="10"/>
        <v>-1529.47</v>
      </c>
      <c r="Y30" s="2"/>
      <c r="Z30" s="6">
        <f t="shared" si="11"/>
        <v>-0.48554603174603178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12967.17</v>
      </c>
      <c r="E31" s="1"/>
      <c r="F31" s="5">
        <f t="shared" ref="F31:F41" si="12">IF(D$12=0,0,D31/D$12)</f>
        <v>0.2511800484261501</v>
      </c>
      <c r="G31" s="1"/>
      <c r="H31" s="1">
        <f>SUM(OSRRefH22_1x_0)</f>
        <v>16527.53331923077</v>
      </c>
      <c r="I31" s="1"/>
      <c r="J31" s="5">
        <f t="shared" ref="J31:J41" si="13">IF(H$12=0,0,H31/H$12)</f>
        <v>0.44079299424538659</v>
      </c>
      <c r="K31" s="1"/>
      <c r="L31" s="1">
        <f t="shared" ref="L31:L41" si="14">+D31-H31</f>
        <v>-3560.3633192307698</v>
      </c>
      <c r="M31" s="1"/>
      <c r="N31" s="5">
        <f t="shared" ref="N31:N41" si="15">IF(H31=0,0,L31/H31)</f>
        <v>-0.21542012655258574</v>
      </c>
      <c r="O31" s="13"/>
      <c r="P31" s="1">
        <f>SUM(OSRRefP22_1x_0)</f>
        <v>128147.72</v>
      </c>
      <c r="Q31" s="1"/>
      <c r="R31" s="5">
        <f t="shared" ref="R31:R41" si="16">IF(P$12=0,0,P31/P$12)</f>
        <v>0.2886996681528074</v>
      </c>
      <c r="S31" s="1"/>
      <c r="T31" s="1">
        <f>SUM(OSRRefT22_1x_0)</f>
        <v>162090.0356</v>
      </c>
      <c r="U31" s="1"/>
      <c r="V31" s="5">
        <f t="shared" ref="V31:V41" si="17">IF(T$12=0,0,T31/T$12)</f>
        <v>0.33691057415502168</v>
      </c>
      <c r="W31" s="1"/>
      <c r="X31" s="1">
        <f t="shared" ref="X31:X41" si="18">+P31-T31</f>
        <v>-33942.315600000002</v>
      </c>
      <c r="Y31" s="1"/>
      <c r="Z31" s="5">
        <f t="shared" ref="Z31:Z41" si="19">IF(T31=0,0,X31/T31)</f>
        <v>-0.20940408504666896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4204.72</v>
      </c>
      <c r="E32" s="2"/>
      <c r="F32" s="6">
        <f t="shared" si="12"/>
        <v>8.14473607748184E-2</v>
      </c>
      <c r="G32" s="2"/>
      <c r="H32" s="7">
        <v>4019.23076923077</v>
      </c>
      <c r="I32" s="2"/>
      <c r="J32" s="6">
        <f t="shared" si="13"/>
        <v>0.107193779683445</v>
      </c>
      <c r="K32" s="2"/>
      <c r="L32" s="7">
        <f t="shared" si="14"/>
        <v>185.48923076923029</v>
      </c>
      <c r="M32" s="2"/>
      <c r="N32" s="6">
        <f t="shared" si="15"/>
        <v>4.6150430622009443E-2</v>
      </c>
      <c r="O32" s="11"/>
      <c r="P32" s="7">
        <v>39323.050000000003</v>
      </c>
      <c r="Q32" s="2"/>
      <c r="R32" s="6">
        <f t="shared" si="16"/>
        <v>8.8589570581171909E-2</v>
      </c>
      <c r="S32" s="2"/>
      <c r="T32" s="7">
        <v>39187.5</v>
      </c>
      <c r="U32" s="2"/>
      <c r="V32" s="6">
        <f t="shared" si="17"/>
        <v>8.1452774538720074E-2</v>
      </c>
      <c r="W32" s="2"/>
      <c r="X32" s="7">
        <f t="shared" si="18"/>
        <v>135.55000000000291</v>
      </c>
      <c r="Y32" s="2"/>
      <c r="Z32" s="6">
        <f t="shared" si="19"/>
        <v>3.4590111642743963E-3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4.4209200968523009E-2</v>
      </c>
      <c r="G33" s="2"/>
      <c r="H33" s="7">
        <v>2168.1849999999999</v>
      </c>
      <c r="I33" s="2"/>
      <c r="J33" s="6">
        <f t="shared" si="13"/>
        <v>5.782597679690625E-2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21111.69</v>
      </c>
      <c r="Q33" s="2"/>
      <c r="R33" s="6">
        <f t="shared" si="16"/>
        <v>4.7561813016610381E-2</v>
      </c>
      <c r="S33" s="2"/>
      <c r="T33" s="7">
        <v>23850.035</v>
      </c>
      <c r="U33" s="2"/>
      <c r="V33" s="6">
        <f t="shared" si="17"/>
        <v>4.9573244621258887E-2</v>
      </c>
      <c r="W33" s="2"/>
      <c r="X33" s="7">
        <f t="shared" si="18"/>
        <v>-2738.3450000000012</v>
      </c>
      <c r="Y33" s="2"/>
      <c r="Z33" s="6">
        <f t="shared" si="19"/>
        <v>-0.11481513549141548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7.6964629950660085E-2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26838.813600000001</v>
      </c>
      <c r="U35" s="2"/>
      <c r="V35" s="6">
        <f t="shared" si="17"/>
        <v>5.5785539599299119E-2</v>
      </c>
      <c r="W35" s="2"/>
      <c r="X35" s="7">
        <f t="shared" si="18"/>
        <v>-26838.813600000001</v>
      </c>
      <c r="Y35" s="2"/>
      <c r="Z35" s="6">
        <f t="shared" si="19"/>
        <v>-1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6197.15</v>
      </c>
      <c r="E36" s="2"/>
      <c r="F36" s="6">
        <f t="shared" si="12"/>
        <v>0.12004164648910411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6197.15</v>
      </c>
      <c r="M36" s="2"/>
      <c r="N36" s="6">
        <f t="shared" si="15"/>
        <v>0</v>
      </c>
      <c r="O36" s="11"/>
      <c r="P36" s="7">
        <v>57971.32</v>
      </c>
      <c r="Q36" s="2"/>
      <c r="R36" s="6">
        <f t="shared" si="16"/>
        <v>0.13060162792112265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57971.32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283</v>
      </c>
      <c r="E38" s="2"/>
      <c r="F38" s="6">
        <f t="shared" si="12"/>
        <v>5.4818401937046001E-3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283</v>
      </c>
      <c r="M38" s="2"/>
      <c r="N38" s="6">
        <f t="shared" si="15"/>
        <v>0</v>
      </c>
      <c r="O38" s="11"/>
      <c r="P38" s="7">
        <v>5829.78</v>
      </c>
      <c r="Q38" s="2"/>
      <c r="R38" s="6">
        <f t="shared" si="16"/>
        <v>1.313371436810482E-2</v>
      </c>
      <c r="S38" s="2"/>
      <c r="T38" s="7">
        <v>20952</v>
      </c>
      <c r="U38" s="2"/>
      <c r="V38" s="6">
        <f t="shared" si="17"/>
        <v>4.3549563818443715E-2</v>
      </c>
      <c r="W38" s="2"/>
      <c r="X38" s="7">
        <f t="shared" si="18"/>
        <v>-15122.220000000001</v>
      </c>
      <c r="Y38" s="2"/>
      <c r="Z38" s="6">
        <f t="shared" si="19"/>
        <v>-0.72175544100801836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7454.3287499999997</v>
      </c>
      <c r="I39" s="2"/>
      <c r="J39" s="6">
        <f t="shared" si="13"/>
        <v>0.19880860781437523</v>
      </c>
      <c r="K39" s="2"/>
      <c r="L39" s="7">
        <f t="shared" si="14"/>
        <v>-7454.3287499999997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8.8129422657976606E-3</v>
      </c>
      <c r="S39" s="2"/>
      <c r="T39" s="7">
        <v>51261.686999999998</v>
      </c>
      <c r="U39" s="2"/>
      <c r="V39" s="6">
        <f t="shared" si="17"/>
        <v>0.10654945157729985</v>
      </c>
      <c r="W39" s="2"/>
      <c r="X39" s="7">
        <f t="shared" si="18"/>
        <v>-47349.807000000001</v>
      </c>
      <c r="Y39" s="2"/>
      <c r="Z39" s="6">
        <f t="shared" si="19"/>
        <v>-0.92368803625210394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2.6670222696359514E-3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900</v>
      </c>
      <c r="U42" s="1"/>
      <c r="V42" s="5">
        <f t="shared" ref="V42:V50" si="25">IF(T$12=0,0,T42/T$12)</f>
        <v>1.8706857310328057E-3</v>
      </c>
      <c r="W42" s="1"/>
      <c r="X42" s="1">
        <f t="shared" ref="X42:X50" si="26">+P42-T42</f>
        <v>-900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2.6670222696359514E-3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900</v>
      </c>
      <c r="U43" s="2"/>
      <c r="V43" s="6">
        <f t="shared" si="25"/>
        <v>1.8706857310328057E-3</v>
      </c>
      <c r="W43" s="2"/>
      <c r="X43" s="7">
        <f t="shared" si="26"/>
        <v>-900</v>
      </c>
      <c r="Y43" s="2"/>
      <c r="Z43" s="6">
        <f t="shared" si="27"/>
        <v>-1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45.38</v>
      </c>
      <c r="E44" s="1"/>
      <c r="F44" s="5">
        <f t="shared" si="20"/>
        <v>8.7903147699757876E-4</v>
      </c>
      <c r="G44" s="1"/>
      <c r="H44" s="1">
        <f>SUM(OSRRefH22_3x_0)</f>
        <v>2000</v>
      </c>
      <c r="I44" s="1"/>
      <c r="J44" s="5">
        <f t="shared" si="21"/>
        <v>5.3340445392719031E-2</v>
      </c>
      <c r="K44" s="1"/>
      <c r="L44" s="1">
        <f t="shared" si="22"/>
        <v>-1954.62</v>
      </c>
      <c r="M44" s="1"/>
      <c r="N44" s="5">
        <f t="shared" si="23"/>
        <v>-0.9773099999999999</v>
      </c>
      <c r="O44" s="13"/>
      <c r="P44" s="1">
        <f>SUM(OSRRefP22_3x_0)</f>
        <v>753.27</v>
      </c>
      <c r="Q44" s="1"/>
      <c r="R44" s="5">
        <f t="shared" si="24"/>
        <v>1.6970165292793757E-3</v>
      </c>
      <c r="S44" s="1"/>
      <c r="T44" s="1">
        <f>SUM(OSRRefT22_3x_0)</f>
        <v>15700</v>
      </c>
      <c r="U44" s="1"/>
      <c r="V44" s="5">
        <f t="shared" si="25"/>
        <v>3.2633073308016722E-2</v>
      </c>
      <c r="W44" s="1"/>
      <c r="X44" s="1">
        <f t="shared" si="26"/>
        <v>-14946.73</v>
      </c>
      <c r="Y44" s="1"/>
      <c r="Z44" s="5">
        <f t="shared" si="27"/>
        <v>-0.95202101910828019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>
        <v>45.38</v>
      </c>
      <c r="E45" s="2"/>
      <c r="F45" s="6">
        <f t="shared" si="20"/>
        <v>8.7903147699757876E-4</v>
      </c>
      <c r="G45" s="2"/>
      <c r="H45" s="7">
        <v>2000</v>
      </c>
      <c r="I45" s="2"/>
      <c r="J45" s="6">
        <f t="shared" si="21"/>
        <v>5.3340445392719031E-2</v>
      </c>
      <c r="K45" s="2"/>
      <c r="L45" s="7">
        <f t="shared" si="22"/>
        <v>-1954.62</v>
      </c>
      <c r="M45" s="2"/>
      <c r="N45" s="6">
        <f t="shared" si="23"/>
        <v>-0.9773099999999999</v>
      </c>
      <c r="O45" s="11"/>
      <c r="P45" s="7">
        <v>753.27</v>
      </c>
      <c r="Q45" s="2"/>
      <c r="R45" s="6">
        <f t="shared" si="24"/>
        <v>1.6970165292793757E-3</v>
      </c>
      <c r="S45" s="2"/>
      <c r="T45" s="7">
        <v>15700</v>
      </c>
      <c r="U45" s="2"/>
      <c r="V45" s="6">
        <f t="shared" si="25"/>
        <v>3.2633073308016722E-2</v>
      </c>
      <c r="W45" s="2"/>
      <c r="X45" s="7">
        <f t="shared" si="26"/>
        <v>-14946.73</v>
      </c>
      <c r="Y45" s="2"/>
      <c r="Z45" s="6">
        <f t="shared" si="27"/>
        <v>-0.95202101910828019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5.3340445392719034E-4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180</v>
      </c>
      <c r="U46" s="1"/>
      <c r="V46" s="5">
        <f t="shared" si="25"/>
        <v>3.741371462065611E-4</v>
      </c>
      <c r="W46" s="1"/>
      <c r="X46" s="1">
        <f t="shared" si="26"/>
        <v>-180</v>
      </c>
      <c r="Y46" s="1"/>
      <c r="Z46" s="5">
        <f t="shared" si="2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5.3340445392719034E-4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180</v>
      </c>
      <c r="U47" s="2"/>
      <c r="V47" s="6">
        <f t="shared" si="25"/>
        <v>3.741371462065611E-4</v>
      </c>
      <c r="W47" s="2"/>
      <c r="X47" s="7">
        <f t="shared" si="26"/>
        <v>-180</v>
      </c>
      <c r="Y47" s="2"/>
      <c r="Z47" s="6">
        <f t="shared" si="27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2.6670222696359517E-4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4.7760763631530214E-6</v>
      </c>
      <c r="S48" s="1"/>
      <c r="T48" s="1">
        <f>SUM(OSRRefT22_5x_0)</f>
        <v>90</v>
      </c>
      <c r="U48" s="1"/>
      <c r="V48" s="5">
        <f t="shared" si="25"/>
        <v>1.8706857310328055E-4</v>
      </c>
      <c r="W48" s="1"/>
      <c r="X48" s="1">
        <f t="shared" si="26"/>
        <v>-87.88</v>
      </c>
      <c r="Y48" s="1"/>
      <c r="Z48" s="5">
        <f t="shared" si="27"/>
        <v>-0.97644444444444445</v>
      </c>
    </row>
    <row r="49" spans="1:26" s="24" customFormat="1" hidden="1" outlineLevel="2" x14ac:dyDescent="0.25">
      <c r="A49" s="26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3.6496432586357996E-6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2.6670222696359517E-4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1.126433104517222E-6</v>
      </c>
      <c r="S50" s="2"/>
      <c r="T50" s="7">
        <v>90</v>
      </c>
      <c r="U50" s="2"/>
      <c r="V50" s="6">
        <f t="shared" si="25"/>
        <v>1.8706857310328055E-4</v>
      </c>
      <c r="W50" s="2"/>
      <c r="X50" s="7">
        <f t="shared" si="26"/>
        <v>-89.5</v>
      </c>
      <c r="Y50" s="2"/>
      <c r="Z50" s="6">
        <f t="shared" si="27"/>
        <v>-0.99444444444444446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1.3335111348179757E-3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450</v>
      </c>
      <c r="U51" s="1"/>
      <c r="V51" s="5">
        <f t="shared" ref="V51:V61" si="33">IF(T$12=0,0,T51/T$12)</f>
        <v>9.3534286551640283E-4</v>
      </c>
      <c r="W51" s="1"/>
      <c r="X51" s="1">
        <f t="shared" ref="X51:X61" si="34">+P51-T51</f>
        <v>-450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1.3335111348179757E-3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450</v>
      </c>
      <c r="U52" s="2"/>
      <c r="V52" s="6">
        <f t="shared" si="33"/>
        <v>9.3534286551640283E-4</v>
      </c>
      <c r="W52" s="2"/>
      <c r="X52" s="7">
        <f t="shared" si="34"/>
        <v>-450</v>
      </c>
      <c r="Y52" s="2"/>
      <c r="Z52" s="6">
        <f t="shared" si="35"/>
        <v>-1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5.6193704600484261E-4</v>
      </c>
      <c r="G53" s="1"/>
      <c r="H53" s="1">
        <f>SUM(OSRRefH22_7x_0)</f>
        <v>33</v>
      </c>
      <c r="I53" s="1"/>
      <c r="J53" s="5">
        <f t="shared" si="29"/>
        <v>8.8011734897986403E-4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261.08999999999997</v>
      </c>
      <c r="Q53" s="1"/>
      <c r="R53" s="5">
        <f t="shared" si="32"/>
        <v>5.8820083851680296E-4</v>
      </c>
      <c r="S53" s="1"/>
      <c r="T53" s="1">
        <f>SUM(OSRRefT22_7x_0)</f>
        <v>297</v>
      </c>
      <c r="U53" s="1"/>
      <c r="V53" s="5">
        <f t="shared" si="33"/>
        <v>6.173262912408258E-4</v>
      </c>
      <c r="W53" s="1"/>
      <c r="X53" s="1">
        <f t="shared" si="34"/>
        <v>-35.910000000000025</v>
      </c>
      <c r="Y53" s="1"/>
      <c r="Z53" s="5">
        <f t="shared" si="35"/>
        <v>-0.12090909090909099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5.6193704600484261E-4</v>
      </c>
      <c r="G54" s="2"/>
      <c r="H54" s="7">
        <v>33</v>
      </c>
      <c r="I54" s="2"/>
      <c r="J54" s="6">
        <f t="shared" si="29"/>
        <v>8.8011734897986403E-4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261.08999999999997</v>
      </c>
      <c r="Q54" s="2"/>
      <c r="R54" s="6">
        <f t="shared" si="32"/>
        <v>5.8820083851680296E-4</v>
      </c>
      <c r="S54" s="2"/>
      <c r="T54" s="7">
        <v>297</v>
      </c>
      <c r="U54" s="2"/>
      <c r="V54" s="6">
        <f t="shared" si="33"/>
        <v>6.173262912408258E-4</v>
      </c>
      <c r="W54" s="2"/>
      <c r="X54" s="7">
        <f t="shared" si="34"/>
        <v>-35.910000000000025</v>
      </c>
      <c r="Y54" s="2"/>
      <c r="Z54" s="6">
        <f t="shared" si="35"/>
        <v>-0.12090909090909099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1.549636803874092E-2</v>
      </c>
      <c r="G55" s="1"/>
      <c r="H55" s="1">
        <f>SUM(OSRRefH22_8x_0)</f>
        <v>800</v>
      </c>
      <c r="I55" s="1"/>
      <c r="J55" s="5">
        <f t="shared" si="29"/>
        <v>2.1336178157087611E-2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7200</v>
      </c>
      <c r="Q55" s="1"/>
      <c r="R55" s="5">
        <f t="shared" si="32"/>
        <v>1.6220636705047996E-2</v>
      </c>
      <c r="S55" s="1"/>
      <c r="T55" s="1">
        <f>SUM(OSRRefT22_8x_0)</f>
        <v>7200</v>
      </c>
      <c r="U55" s="1"/>
      <c r="V55" s="5">
        <f t="shared" si="33"/>
        <v>1.4965485848262445E-2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1.549636803874092E-2</v>
      </c>
      <c r="G56" s="2"/>
      <c r="H56" s="7">
        <v>800</v>
      </c>
      <c r="I56" s="2"/>
      <c r="J56" s="6">
        <f t="shared" si="29"/>
        <v>2.1336178157087611E-2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7200</v>
      </c>
      <c r="Q56" s="2"/>
      <c r="R56" s="6">
        <f t="shared" si="32"/>
        <v>1.6220636705047996E-2</v>
      </c>
      <c r="S56" s="2"/>
      <c r="T56" s="7">
        <v>7200</v>
      </c>
      <c r="U56" s="2"/>
      <c r="V56" s="6">
        <f t="shared" si="33"/>
        <v>1.4965485848262445E-2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22581.23</v>
      </c>
      <c r="E57" s="1"/>
      <c r="F57" s="5">
        <f t="shared" si="28"/>
        <v>0.43740881355932204</v>
      </c>
      <c r="G57" s="1"/>
      <c r="H57" s="1">
        <f>SUM(OSRRefH22_9x_0)</f>
        <v>1500</v>
      </c>
      <c r="I57" s="1"/>
      <c r="J57" s="5">
        <f t="shared" si="29"/>
        <v>4.0005334044539272E-2</v>
      </c>
      <c r="K57" s="1"/>
      <c r="L57" s="1">
        <f t="shared" si="30"/>
        <v>21081.23</v>
      </c>
      <c r="M57" s="1"/>
      <c r="N57" s="5">
        <f t="shared" si="31"/>
        <v>14.054153333333334</v>
      </c>
      <c r="O57" s="13"/>
      <c r="P57" s="1">
        <f>SUM(OSRRefP22_9x_0)</f>
        <v>149496.13</v>
      </c>
      <c r="Q57" s="1"/>
      <c r="R57" s="5">
        <f t="shared" si="32"/>
        <v>0.33679477965842042</v>
      </c>
      <c r="S57" s="1"/>
      <c r="T57" s="1">
        <f>SUM(OSRRefT22_9x_0)</f>
        <v>138500</v>
      </c>
      <c r="U57" s="1"/>
      <c r="V57" s="5">
        <f t="shared" si="33"/>
        <v>0.28787774860893728</v>
      </c>
      <c r="W57" s="1"/>
      <c r="X57" s="1">
        <f t="shared" si="34"/>
        <v>10996.130000000005</v>
      </c>
      <c r="Y57" s="1"/>
      <c r="Z57" s="5">
        <f t="shared" si="35"/>
        <v>7.9394440433213032E-2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0.25981746264344524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4.0005334044539272E-2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13500</v>
      </c>
      <c r="U59" s="2"/>
      <c r="V59" s="6">
        <f t="shared" si="33"/>
        <v>2.8060285965492083E-2</v>
      </c>
      <c r="W59" s="2"/>
      <c r="X59" s="7">
        <f t="shared" si="34"/>
        <v>-13500</v>
      </c>
      <c r="Y59" s="2"/>
      <c r="Z59" s="6">
        <f t="shared" si="35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>
        <v>22581.23</v>
      </c>
      <c r="E60" s="2"/>
      <c r="F60" s="6">
        <f t="shared" si="28"/>
        <v>0.43740881355932204</v>
      </c>
      <c r="G60" s="2"/>
      <c r="H60" s="7"/>
      <c r="I60" s="2"/>
      <c r="J60" s="6">
        <f t="shared" si="29"/>
        <v>0</v>
      </c>
      <c r="K60" s="2"/>
      <c r="L60" s="7">
        <f t="shared" si="30"/>
        <v>22581.23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0.32201147159473642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1.4783308063684022E-2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SUM(OSRRefD22_10x_0)</f>
        <v>3.72</v>
      </c>
      <c r="E62" s="1"/>
      <c r="F62" s="5">
        <f t="shared" ref="F62:F64" si="36">IF(D$12=0,0,D62/D$12)</f>
        <v>7.205811138014528E-5</v>
      </c>
      <c r="G62" s="1"/>
      <c r="H62" s="1">
        <f>SUM(OSRRefH22_10x_0)</f>
        <v>7000</v>
      </c>
      <c r="I62" s="1"/>
      <c r="J62" s="5">
        <f t="shared" ref="J62:J64" si="37">IF(H$12=0,0,H62/H$12)</f>
        <v>0.18669155887451661</v>
      </c>
      <c r="K62" s="1"/>
      <c r="L62" s="1">
        <f t="shared" ref="L62:L64" si="38">+D62-H62</f>
        <v>-6996.28</v>
      </c>
      <c r="M62" s="1"/>
      <c r="N62" s="5">
        <f t="shared" ref="N62:N64" si="39">IF(H62=0,0,L62/H62)</f>
        <v>-0.99946857142857137</v>
      </c>
      <c r="O62" s="13"/>
      <c r="P62" s="1">
        <f>SUM(OSRRefP22_10x_0)</f>
        <v>42061.89</v>
      </c>
      <c r="Q62" s="1"/>
      <c r="R62" s="5">
        <f t="shared" ref="R62:R64" si="40">IF(P$12=0,0,P62/P$12)</f>
        <v>9.4759810669123798E-2</v>
      </c>
      <c r="S62" s="1"/>
      <c r="T62" s="1">
        <f>SUM(OSRRefT22_10x_0)</f>
        <v>63000</v>
      </c>
      <c r="U62" s="1"/>
      <c r="V62" s="5">
        <f t="shared" ref="V62:V64" si="41">IF(T$12=0,0,T62/T$12)</f>
        <v>0.13094800117229638</v>
      </c>
      <c r="W62" s="1"/>
      <c r="X62" s="1">
        <f t="shared" ref="X62:X64" si="42">+P62-T62</f>
        <v>-20938.11</v>
      </c>
      <c r="Y62" s="1"/>
      <c r="Z62" s="5">
        <f t="shared" ref="Z62:Z64" si="43">IF(T62=0,0,X62/T62)</f>
        <v>-0.33235095238095241</v>
      </c>
    </row>
    <row r="63" spans="1:26" s="24" customFormat="1" hidden="1" outlineLevel="2" x14ac:dyDescent="0.25">
      <c r="A63" s="26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0.18669155887451661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63000</v>
      </c>
      <c r="U63" s="2"/>
      <c r="V63" s="6">
        <f t="shared" si="41"/>
        <v>0.13094800117229638</v>
      </c>
      <c r="W63" s="2"/>
      <c r="X63" s="7">
        <f t="shared" si="42"/>
        <v>-63000</v>
      </c>
      <c r="Y63" s="2"/>
      <c r="Z63" s="6">
        <f t="shared" si="43"/>
        <v>-1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7">
        <v>3.72</v>
      </c>
      <c r="E64" s="2"/>
      <c r="F64" s="6">
        <f t="shared" si="36"/>
        <v>7.205811138014528E-5</v>
      </c>
      <c r="G64" s="2"/>
      <c r="H64" s="7"/>
      <c r="I64" s="2"/>
      <c r="J64" s="6">
        <f t="shared" si="37"/>
        <v>0</v>
      </c>
      <c r="K64" s="2"/>
      <c r="L64" s="7">
        <f t="shared" si="38"/>
        <v>3.72</v>
      </c>
      <c r="M64" s="2"/>
      <c r="N64" s="6">
        <f t="shared" si="39"/>
        <v>0</v>
      </c>
      <c r="O64" s="11"/>
      <c r="P64" s="7">
        <v>42061.89</v>
      </c>
      <c r="Q64" s="2"/>
      <c r="R64" s="6">
        <f t="shared" si="40"/>
        <v>9.4759810669123798E-2</v>
      </c>
      <c r="S64" s="2"/>
      <c r="T64" s="7"/>
      <c r="U64" s="2"/>
      <c r="V64" s="6">
        <f t="shared" si="41"/>
        <v>0</v>
      </c>
      <c r="W64" s="2"/>
      <c r="X64" s="7">
        <f t="shared" si="42"/>
        <v>42061.89</v>
      </c>
      <c r="Y64" s="2"/>
      <c r="Z64" s="6">
        <f t="shared" si="43"/>
        <v>0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87</v>
      </c>
      <c r="E65" s="1"/>
      <c r="F65" s="5">
        <f t="shared" ref="F65:F68" si="44">IF(D$12=0,0,D65/D$12)</f>
        <v>1.6852300242130751E-3</v>
      </c>
      <c r="G65" s="1"/>
      <c r="H65" s="1">
        <f>SUM(OSRRefH22_11x_0)</f>
        <v>700</v>
      </c>
      <c r="I65" s="1"/>
      <c r="J65" s="5">
        <f t="shared" ref="J65:J68" si="45">IF(H$12=0,0,H65/H$12)</f>
        <v>1.8669155887451661E-2</v>
      </c>
      <c r="K65" s="1"/>
      <c r="L65" s="1">
        <f t="shared" ref="L65:L68" si="46">+D65-H65</f>
        <v>-613</v>
      </c>
      <c r="M65" s="1"/>
      <c r="N65" s="5">
        <f t="shared" ref="N65:N68" si="47">IF(H65=0,0,L65/H65)</f>
        <v>-0.87571428571428567</v>
      </c>
      <c r="O65" s="13"/>
      <c r="P65" s="1">
        <f>SUM(OSRRefP22_11x_0)</f>
        <v>1711.83</v>
      </c>
      <c r="Q65" s="1"/>
      <c r="R65" s="5">
        <f t="shared" ref="R65:R68" si="48">IF(P$12=0,0,P65/P$12)</f>
        <v>3.8565239626114321E-3</v>
      </c>
      <c r="S65" s="1"/>
      <c r="T65" s="1">
        <f>SUM(OSRRefT22_11x_0)</f>
        <v>6300</v>
      </c>
      <c r="U65" s="1"/>
      <c r="V65" s="5">
        <f t="shared" ref="V65:V68" si="49">IF(T$12=0,0,T65/T$12)</f>
        <v>1.3094800117229639E-2</v>
      </c>
      <c r="W65" s="1"/>
      <c r="X65" s="1">
        <f t="shared" ref="X65:X68" si="50">+P65-T65</f>
        <v>-4588.17</v>
      </c>
      <c r="Y65" s="1"/>
      <c r="Z65" s="5">
        <f t="shared" ref="Z65:Z68" si="51">IF(T65=0,0,X65/T65)</f>
        <v>-0.72828095238095236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7">
        <v>87</v>
      </c>
      <c r="E66" s="2"/>
      <c r="F66" s="6">
        <f t="shared" si="44"/>
        <v>1.6852300242130751E-3</v>
      </c>
      <c r="G66" s="2"/>
      <c r="H66" s="7">
        <v>700</v>
      </c>
      <c r="I66" s="2"/>
      <c r="J66" s="6">
        <f t="shared" si="45"/>
        <v>1.8669155887451661E-2</v>
      </c>
      <c r="K66" s="2"/>
      <c r="L66" s="7">
        <f t="shared" si="46"/>
        <v>-613</v>
      </c>
      <c r="M66" s="2"/>
      <c r="N66" s="6">
        <f t="shared" si="47"/>
        <v>-0.87571428571428567</v>
      </c>
      <c r="O66" s="11"/>
      <c r="P66" s="7">
        <v>1711.83</v>
      </c>
      <c r="Q66" s="2"/>
      <c r="R66" s="6">
        <f t="shared" si="48"/>
        <v>3.8565239626114321E-3</v>
      </c>
      <c r="S66" s="2"/>
      <c r="T66" s="7">
        <v>6300</v>
      </c>
      <c r="U66" s="2"/>
      <c r="V66" s="6">
        <f t="shared" si="49"/>
        <v>1.3094800117229639E-2</v>
      </c>
      <c r="W66" s="2"/>
      <c r="X66" s="7">
        <f t="shared" si="50"/>
        <v>-4588.17</v>
      </c>
      <c r="Y66" s="2"/>
      <c r="Z66" s="6">
        <f t="shared" si="51"/>
        <v>-0.72828095238095236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SUM(OSRRefD22_12x_0)</f>
        <v>0</v>
      </c>
      <c r="E67" s="1"/>
      <c r="F67" s="5">
        <f t="shared" si="44"/>
        <v>0</v>
      </c>
      <c r="G67" s="1"/>
      <c r="H67" s="1">
        <f>SUM(OSRRefH22_12x_0)</f>
        <v>3000</v>
      </c>
      <c r="I67" s="1"/>
      <c r="J67" s="5">
        <f t="shared" si="45"/>
        <v>8.0010668089078543E-2</v>
      </c>
      <c r="K67" s="1"/>
      <c r="L67" s="1">
        <f t="shared" si="46"/>
        <v>-3000</v>
      </c>
      <c r="M67" s="1"/>
      <c r="N67" s="5">
        <f t="shared" si="47"/>
        <v>-1</v>
      </c>
      <c r="O67" s="13"/>
      <c r="P67" s="1">
        <f>SUM(OSRRefP22_12x_0)</f>
        <v>0</v>
      </c>
      <c r="Q67" s="1"/>
      <c r="R67" s="5">
        <f t="shared" si="48"/>
        <v>0</v>
      </c>
      <c r="S67" s="1"/>
      <c r="T67" s="1">
        <f>SUM(OSRRefT22_12x_0)</f>
        <v>3000</v>
      </c>
      <c r="U67" s="1"/>
      <c r="V67" s="5">
        <f t="shared" si="49"/>
        <v>6.2356191034426854E-3</v>
      </c>
      <c r="W67" s="1"/>
      <c r="X67" s="1">
        <f t="shared" si="50"/>
        <v>-3000</v>
      </c>
      <c r="Y67" s="1"/>
      <c r="Z67" s="5">
        <f t="shared" si="51"/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4"/>
        <v>0</v>
      </c>
      <c r="G68" s="2"/>
      <c r="H68" s="7">
        <v>3000</v>
      </c>
      <c r="I68" s="2"/>
      <c r="J68" s="6">
        <f t="shared" si="45"/>
        <v>8.0010668089078543E-2</v>
      </c>
      <c r="K68" s="2"/>
      <c r="L68" s="7">
        <f t="shared" si="46"/>
        <v>-3000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3000</v>
      </c>
      <c r="U68" s="2"/>
      <c r="V68" s="6">
        <f t="shared" si="49"/>
        <v>6.2356191034426854E-3</v>
      </c>
      <c r="W68" s="2"/>
      <c r="X68" s="7">
        <f t="shared" si="50"/>
        <v>-3000</v>
      </c>
      <c r="Y68" s="2"/>
      <c r="Z68" s="6">
        <f t="shared" si="51"/>
        <v>-1</v>
      </c>
    </row>
    <row r="69" spans="1:26" s="59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293</v>
      </c>
      <c r="C70" s="10"/>
      <c r="D70" s="4">
        <f>SUM(OSRRefD25x_0)</f>
        <v>210</v>
      </c>
      <c r="E70" s="4"/>
      <c r="F70" s="12">
        <f t="shared" ref="F70:F71" si="52">IF(D$12=0,0,D70/D$12)</f>
        <v>4.0677966101694916E-3</v>
      </c>
      <c r="G70" s="4"/>
      <c r="H70" s="4">
        <f>SUM(OSRRefH25x_0)</f>
        <v>3500</v>
      </c>
      <c r="I70" s="4"/>
      <c r="J70" s="12">
        <f t="shared" ref="J70:J71" si="53">IF(H$12=0,0,H70/H$12)</f>
        <v>9.3345779437258303E-2</v>
      </c>
      <c r="K70" s="4"/>
      <c r="L70" s="4">
        <f t="shared" ref="L70:L71" si="54">+D70-H70</f>
        <v>-3290</v>
      </c>
      <c r="M70" s="4"/>
      <c r="N70" s="12">
        <f t="shared" ref="N70:N71" si="55">IF(H70=0,0,L70/H70)</f>
        <v>-0.94</v>
      </c>
      <c r="O70" s="10"/>
      <c r="P70" s="4">
        <f>SUM(OSRRefP25x_0)</f>
        <v>1938.68</v>
      </c>
      <c r="Q70" s="4"/>
      <c r="R70" s="12">
        <f t="shared" ref="R70:R71" si="56">IF(P$12=0,0,P70/P$12)</f>
        <v>4.3675866621308958E-3</v>
      </c>
      <c r="S70" s="4"/>
      <c r="T70" s="4">
        <f>SUM(OSRRefT25x_0)</f>
        <v>26650</v>
      </c>
      <c r="U70" s="4"/>
      <c r="V70" s="12">
        <f t="shared" ref="V70:V71" si="57">IF(T$12=0,0,T70/T$12)</f>
        <v>5.5393083035582519E-2</v>
      </c>
      <c r="W70" s="4"/>
      <c r="X70" s="4">
        <f t="shared" ref="X70:X71" si="58">+P70-T70</f>
        <v>-24711.32</v>
      </c>
      <c r="Y70" s="4"/>
      <c r="Z70" s="12">
        <f t="shared" ref="Z70:Z71" si="59">IF(T70=0,0,X70/T70)</f>
        <v>-0.92725403377110693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--210</f>
        <v>210</v>
      </c>
      <c r="E71" s="2"/>
      <c r="F71" s="19">
        <f t="shared" si="52"/>
        <v>4.0677966101694916E-3</v>
      </c>
      <c r="G71" s="2"/>
      <c r="H71" s="2">
        <v>3500</v>
      </c>
      <c r="I71" s="2"/>
      <c r="J71" s="19">
        <f t="shared" si="53"/>
        <v>9.3345779437258303E-2</v>
      </c>
      <c r="K71" s="2"/>
      <c r="L71" s="2">
        <f t="shared" si="54"/>
        <v>-3290</v>
      </c>
      <c r="M71" s="2"/>
      <c r="N71" s="19">
        <f t="shared" si="55"/>
        <v>-0.94</v>
      </c>
      <c r="O71" s="11"/>
      <c r="P71" s="2">
        <f>--1938.68</f>
        <v>1938.68</v>
      </c>
      <c r="Q71" s="2"/>
      <c r="R71" s="19">
        <f t="shared" si="56"/>
        <v>4.3675866621308958E-3</v>
      </c>
      <c r="S71" s="2"/>
      <c r="T71" s="2">
        <v>26650</v>
      </c>
      <c r="U71" s="2"/>
      <c r="V71" s="19">
        <f t="shared" si="57"/>
        <v>5.5393083035582519E-2</v>
      </c>
      <c r="W71" s="2"/>
      <c r="X71" s="2">
        <f t="shared" si="58"/>
        <v>-24711.32</v>
      </c>
      <c r="Y71" s="2"/>
      <c r="Z71" s="19">
        <f t="shared" si="59"/>
        <v>-0.92725403377110693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277</v>
      </c>
      <c r="C73" s="29"/>
      <c r="D73" s="20">
        <f>+D17-D19+D70</f>
        <v>10578.740000000005</v>
      </c>
      <c r="E73" s="14"/>
      <c r="F73" s="21">
        <f>IF(D$12=0,0,D73/D$12)</f>
        <v>0.20491506053268776</v>
      </c>
      <c r="G73" s="14"/>
      <c r="H73" s="20">
        <f>+H17-H19+H70</f>
        <v>5585.4168486846174</v>
      </c>
      <c r="I73" s="14"/>
      <c r="J73" s="21">
        <f>IF(H$12=0,0,H73/H$12)</f>
        <v>0.14896431120641732</v>
      </c>
      <c r="K73" s="16"/>
      <c r="L73" s="20">
        <f>+D73-H73</f>
        <v>4993.3231513153878</v>
      </c>
      <c r="M73" s="16"/>
      <c r="N73" s="21">
        <f>IF(H73=0,0,L73/H73)</f>
        <v>0.89399292596958646</v>
      </c>
      <c r="O73" s="28"/>
      <c r="P73" s="20">
        <f>+P17-P19+P70</f>
        <v>77680.659999999974</v>
      </c>
      <c r="Q73" s="14"/>
      <c r="R73" s="21">
        <f>IF(P$12=0,0,P73/P$12)</f>
        <v>0.17500413400949352</v>
      </c>
      <c r="S73" s="14"/>
      <c r="T73" s="20">
        <f>+T17-T19+T70</f>
        <v>72851.20169659995</v>
      </c>
      <c r="U73" s="14"/>
      <c r="V73" s="21">
        <f>IF(T$12=0,0,T73/T$12)</f>
        <v>0.15142411500269159</v>
      </c>
      <c r="W73" s="16"/>
      <c r="X73" s="20">
        <f>+P73-T73</f>
        <v>4829.4583034000243</v>
      </c>
      <c r="Y73" s="16"/>
      <c r="Z73" s="21">
        <f>IF(T73=0,0,X73/T73)</f>
        <v>6.6292088406627078E-2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>
        <v>13799.37</v>
      </c>
      <c r="E75" s="4"/>
      <c r="F75" s="12">
        <f>IF(D$12=0,0,D75/D$12)</f>
        <v>0.26730014527845036</v>
      </c>
      <c r="G75" s="4"/>
      <c r="H75" s="4">
        <v>8787</v>
      </c>
      <c r="I75" s="4"/>
      <c r="J75" s="12">
        <f>IF(H$12=0,0,H75/H$12)</f>
        <v>0.23435124683291106</v>
      </c>
      <c r="K75" s="4"/>
      <c r="L75" s="4">
        <f>+D75-H75</f>
        <v>5012.3700000000008</v>
      </c>
      <c r="M75" s="4"/>
      <c r="N75" s="12">
        <f>IF(H75=0,0,L75/H75)</f>
        <v>0.57043018094912945</v>
      </c>
      <c r="O75" s="10"/>
      <c r="P75" s="4">
        <v>91479.69</v>
      </c>
      <c r="Q75" s="4"/>
      <c r="R75" s="12">
        <f>IF(P$12=0,0,P75/P$12)</f>
        <v>0.20609150241394614</v>
      </c>
      <c r="S75" s="4"/>
      <c r="T75" s="4">
        <v>85080</v>
      </c>
      <c r="U75" s="4"/>
      <c r="V75" s="12">
        <f>IF(T$12=0,0,T75/T$12)</f>
        <v>0.17684215777363455</v>
      </c>
      <c r="W75" s="4"/>
      <c r="X75" s="4">
        <f>+P75-T75</f>
        <v>6399.6900000000023</v>
      </c>
      <c r="Y75" s="4"/>
      <c r="Z75" s="12">
        <f>IF(T75=0,0,X75/T75)</f>
        <v>7.5219675599435848E-2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126</v>
      </c>
      <c r="C77" s="29"/>
      <c r="D77" s="34">
        <f>+D73-D75</f>
        <v>-3220.6299999999956</v>
      </c>
      <c r="E77" s="14"/>
      <c r="F77" s="30">
        <f>IF(D$12=0,0,D77/D$12)</f>
        <v>-6.2385084745762626E-2</v>
      </c>
      <c r="G77" s="14"/>
      <c r="H77" s="34">
        <f>+H73-H75</f>
        <v>-3201.5831513153826</v>
      </c>
      <c r="I77" s="14"/>
      <c r="J77" s="30">
        <f>IF(H$12=0,0,H77/H$12)</f>
        <v>-8.5386935626493729E-2</v>
      </c>
      <c r="K77" s="16"/>
      <c r="L77" s="34">
        <f>D77-H77</f>
        <v>-19.046848684612996</v>
      </c>
      <c r="M77" s="16"/>
      <c r="N77" s="30">
        <f>IF(H77=0,0,L77/H77)</f>
        <v>5.9491969392666023E-3</v>
      </c>
      <c r="O77" s="28"/>
      <c r="P77" s="34">
        <f>+P73-P75</f>
        <v>-13799.030000000028</v>
      </c>
      <c r="Q77" s="14"/>
      <c r="R77" s="30">
        <f>IF(P$12=0,0,P77/P$12)</f>
        <v>-3.1087368404452628E-2</v>
      </c>
      <c r="S77" s="14"/>
      <c r="T77" s="34">
        <f>+T73-T75</f>
        <v>-12228.79830340005</v>
      </c>
      <c r="U77" s="14"/>
      <c r="V77" s="30">
        <f>IF(T$12=0,0,T77/T$12)</f>
        <v>-2.541804277094295E-2</v>
      </c>
      <c r="W77" s="16"/>
      <c r="X77" s="34">
        <f>P77-T77</f>
        <v>-1570.231696599978</v>
      </c>
      <c r="Y77" s="16"/>
      <c r="Z77" s="30">
        <f>IF(T77=0,0,X77/T77)</f>
        <v>0.12840441535153921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294</v>
      </c>
      <c r="C80" s="29"/>
      <c r="D80" s="31">
        <f>SUM(D77:D79)</f>
        <v>-3220.6299999999956</v>
      </c>
      <c r="E80" s="14"/>
      <c r="F80" s="35">
        <f>IF(D$12=0,0,D80/D$12)</f>
        <v>-6.2385084745762626E-2</v>
      </c>
      <c r="G80" s="14"/>
      <c r="H80" s="31">
        <f>SUM(H77:H79)</f>
        <v>-3201.5831513153826</v>
      </c>
      <c r="I80" s="14"/>
      <c r="J80" s="35">
        <f>IF(H$12=0,0,H80/H$12)</f>
        <v>-8.5386935626493729E-2</v>
      </c>
      <c r="K80" s="16"/>
      <c r="L80" s="31">
        <f>+D80-H80</f>
        <v>-19.046848684612996</v>
      </c>
      <c r="M80" s="16"/>
      <c r="N80" s="35">
        <f>IF(H80=0,0,L80/H80)</f>
        <v>5.9491969392666023E-3</v>
      </c>
      <c r="O80" s="28"/>
      <c r="P80" s="31">
        <f>SUM(P77:P79)</f>
        <v>-13799.030000000028</v>
      </c>
      <c r="Q80" s="14"/>
      <c r="R80" s="35">
        <f>IF(P$12=0,0,P80/P$12)</f>
        <v>-3.1087368404452628E-2</v>
      </c>
      <c r="S80" s="14"/>
      <c r="T80" s="31">
        <f>SUM(T77:T79)</f>
        <v>-12228.79830340005</v>
      </c>
      <c r="U80" s="14"/>
      <c r="V80" s="35">
        <f>IF(T$12=0,0,T80/T$12)</f>
        <v>-2.541804277094295E-2</v>
      </c>
      <c r="W80" s="16"/>
      <c r="X80" s="31">
        <f>+P80-T80</f>
        <v>-1570.231696599978</v>
      </c>
      <c r="Y80" s="16"/>
      <c r="Z80" s="35">
        <f>IF(T80=0,0,X80/T80)</f>
        <v>0.12840441535153921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44295.961776041666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3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str">
        <f>CONCATENATE("Period ",RIGHT(202109,2),", ",2021)</f>
        <v>Period 09, 2021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44282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>
        <f>SUM(OSRRefD13x_0)</f>
        <v>51625</v>
      </c>
      <c r="E12" s="4"/>
      <c r="F12" s="12"/>
      <c r="G12" s="4"/>
      <c r="H12" s="4">
        <f>SUM(OSRRefH13x_0)</f>
        <v>37495</v>
      </c>
      <c r="I12" s="4"/>
      <c r="J12" s="12"/>
      <c r="K12" s="4"/>
      <c r="L12" s="4">
        <f t="shared" ref="L12:L13" si="0">+D12-H12</f>
        <v>14130</v>
      </c>
      <c r="M12" s="4"/>
      <c r="N12" s="12">
        <f t="shared" ref="N12:N13" si="1">IF(H12=0,0,L12/H12)</f>
        <v>0.37685024669955997</v>
      </c>
      <c r="O12" s="10"/>
      <c r="P12" s="4">
        <f>SUM(OSRRefP13x_0)</f>
        <v>443879</v>
      </c>
      <c r="Q12" s="4"/>
      <c r="R12" s="12"/>
      <c r="S12" s="4"/>
      <c r="T12" s="4">
        <f>SUM(OSRRefT13x_0)</f>
        <v>481107</v>
      </c>
      <c r="U12" s="4"/>
      <c r="V12" s="12"/>
      <c r="W12" s="4"/>
      <c r="X12" s="4">
        <f t="shared" ref="X12:X13" si="2">+P12-T12</f>
        <v>-37228</v>
      </c>
      <c r="Y12" s="4"/>
      <c r="Z12" s="12">
        <f t="shared" ref="Z12:Z13" si="3">IF(T12=0,0,X12/T12)</f>
        <v>-7.7379875994321431E-2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--51625</f>
        <v>51625</v>
      </c>
      <c r="E13" s="2"/>
      <c r="F13" s="19"/>
      <c r="G13" s="2"/>
      <c r="H13" s="2">
        <v>37495</v>
      </c>
      <c r="I13" s="2"/>
      <c r="J13" s="19"/>
      <c r="K13" s="2"/>
      <c r="L13" s="2">
        <f t="shared" si="0"/>
        <v>14130</v>
      </c>
      <c r="M13" s="2"/>
      <c r="N13" s="19">
        <f t="shared" si="1"/>
        <v>0.37685024669955997</v>
      </c>
      <c r="O13" s="11"/>
      <c r="P13" s="2">
        <f>--443879</f>
        <v>443879</v>
      </c>
      <c r="Q13" s="2"/>
      <c r="R13" s="19"/>
      <c r="S13" s="2"/>
      <c r="T13" s="2">
        <v>481107</v>
      </c>
      <c r="U13" s="2"/>
      <c r="V13" s="19"/>
      <c r="W13" s="2"/>
      <c r="X13" s="2">
        <f t="shared" si="2"/>
        <v>-37228</v>
      </c>
      <c r="Y13" s="2"/>
      <c r="Z13" s="19">
        <f t="shared" si="3"/>
        <v>-7.7379875994321431E-2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108</v>
      </c>
      <c r="C17" s="29"/>
      <c r="D17" s="20">
        <f>D12-D15</f>
        <v>51625</v>
      </c>
      <c r="E17" s="14"/>
      <c r="F17" s="21">
        <f>IF(D$12=0,0,D17/D$12)</f>
        <v>1</v>
      </c>
      <c r="G17" s="14"/>
      <c r="H17" s="20">
        <f>H12-H15</f>
        <v>37495</v>
      </c>
      <c r="I17" s="14"/>
      <c r="J17" s="21">
        <f>IF(H$12=0,0,H17/H$12)</f>
        <v>1</v>
      </c>
      <c r="K17" s="16"/>
      <c r="L17" s="20">
        <f>+D17-H17</f>
        <v>14130</v>
      </c>
      <c r="M17" s="16"/>
      <c r="N17" s="21">
        <f>IF(H17=0,0,L17/H17)</f>
        <v>0.37685024669955997</v>
      </c>
      <c r="O17" s="28"/>
      <c r="P17" s="20">
        <f>P12-P15</f>
        <v>443879</v>
      </c>
      <c r="Q17" s="14"/>
      <c r="R17" s="21">
        <f>IF(P$12=0,0,P17/P$12)</f>
        <v>1</v>
      </c>
      <c r="S17" s="14"/>
      <c r="T17" s="20">
        <f>T12-T15</f>
        <v>481107</v>
      </c>
      <c r="U17" s="14"/>
      <c r="V17" s="21">
        <f>IF(T$12=0,0,T17/T$12)</f>
        <v>1</v>
      </c>
      <c r="W17" s="16"/>
      <c r="X17" s="20">
        <f>+P17-T17</f>
        <v>-37228</v>
      </c>
      <c r="Y17" s="16"/>
      <c r="Z17" s="21">
        <f>IF(T17=0,0,X17/T17)</f>
        <v>-7.7379875994321431E-2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295</v>
      </c>
      <c r="C19" s="10"/>
      <c r="D19" s="22">
        <f>SUM(OSRRefD22x_0)</f>
        <v>41256.259999999995</v>
      </c>
      <c r="E19" s="22"/>
      <c r="F19" s="32">
        <f t="shared" ref="F19:F30" si="4">IF(D$12=0,0,D19/D$12)</f>
        <v>0.79915273607748172</v>
      </c>
      <c r="G19" s="22"/>
      <c r="H19" s="22">
        <f>SUM(OSRRefH22x_0)</f>
        <v>35409.583151315383</v>
      </c>
      <c r="I19" s="22"/>
      <c r="J19" s="32">
        <f t="shared" ref="J19:J30" si="5">IF(H$12=0,0,H19/H$12)</f>
        <v>0.94438146823084101</v>
      </c>
      <c r="K19" s="4"/>
      <c r="L19" s="22">
        <f t="shared" ref="L19:L30" si="6">+D19-H19</f>
        <v>5846.6768486846122</v>
      </c>
      <c r="M19" s="4"/>
      <c r="N19" s="32">
        <f t="shared" ref="N19:N30" si="7">IF(H19=0,0,L19/H19)</f>
        <v>0.16511566441491482</v>
      </c>
      <c r="O19" s="10"/>
      <c r="P19" s="22">
        <f>SUM(OSRRefP22x_0)</f>
        <v>368137.02</v>
      </c>
      <c r="Q19" s="22"/>
      <c r="R19" s="32">
        <f t="shared" ref="R19:R30" si="8">IF(P$12=0,0,P19/P$12)</f>
        <v>0.82936345265263733</v>
      </c>
      <c r="S19" s="22"/>
      <c r="T19" s="22">
        <f>SUM(OSRRefT22x_0)</f>
        <v>434905.79830340005</v>
      </c>
      <c r="U19" s="22"/>
      <c r="V19" s="32">
        <f t="shared" ref="V19:V30" si="9">IF(T$12=0,0,T19/T$12)</f>
        <v>0.90396896803289095</v>
      </c>
      <c r="W19" s="4"/>
      <c r="X19" s="22">
        <f t="shared" ref="X19:X30" si="10">+P19-T19</f>
        <v>-66768.778303400031</v>
      </c>
      <c r="Y19" s="4"/>
      <c r="Z19" s="32">
        <f t="shared" ref="Z19:Z30" si="11">IF(T19=0,0,X19/T19)</f>
        <v>-0.15352469101094998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4742.75</v>
      </c>
      <c r="E20" s="1"/>
      <c r="F20" s="5">
        <f t="shared" si="4"/>
        <v>9.1869249394673128E-2</v>
      </c>
      <c r="G20" s="1"/>
      <c r="H20" s="1">
        <f>SUM(OSRRefH22_0x_0)</f>
        <v>3669.0498320846159</v>
      </c>
      <c r="I20" s="1"/>
      <c r="J20" s="5">
        <f t="shared" si="5"/>
        <v>9.785437610573719E-2</v>
      </c>
      <c r="K20" s="1"/>
      <c r="L20" s="1">
        <f t="shared" si="6"/>
        <v>1073.7001679153841</v>
      </c>
      <c r="M20" s="1"/>
      <c r="N20" s="5">
        <f t="shared" si="7"/>
        <v>0.29263711779715679</v>
      </c>
      <c r="O20" s="13"/>
      <c r="P20" s="1">
        <f>SUM(OSRRefP22_0x_0)</f>
        <v>38502.97</v>
      </c>
      <c r="Q20" s="1"/>
      <c r="R20" s="5">
        <f t="shared" si="8"/>
        <v>8.6742040060466929E-2</v>
      </c>
      <c r="S20" s="1"/>
      <c r="T20" s="1">
        <f>SUM(OSRRefT22_0x_0)</f>
        <v>37198.762703400003</v>
      </c>
      <c r="U20" s="1"/>
      <c r="V20" s="5">
        <f t="shared" si="9"/>
        <v>7.7319105112584108E-2</v>
      </c>
      <c r="W20" s="1"/>
      <c r="X20" s="1">
        <f t="shared" si="10"/>
        <v>1304.2072965999978</v>
      </c>
      <c r="Y20" s="1"/>
      <c r="Z20" s="5">
        <f t="shared" si="11"/>
        <v>3.5060502065591338E-2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964.58</v>
      </c>
      <c r="E21" s="2"/>
      <c r="F21" s="6">
        <f t="shared" si="4"/>
        <v>1.8684358353510896E-2</v>
      </c>
      <c r="G21" s="2"/>
      <c r="H21" s="7">
        <v>726.12499943076898</v>
      </c>
      <c r="I21" s="2"/>
      <c r="J21" s="6">
        <f t="shared" si="5"/>
        <v>1.9365915440212534E-2</v>
      </c>
      <c r="K21" s="2"/>
      <c r="L21" s="7">
        <f t="shared" si="6"/>
        <v>238.45500056923106</v>
      </c>
      <c r="M21" s="2"/>
      <c r="N21" s="6">
        <f t="shared" si="7"/>
        <v>0.32839387261995256</v>
      </c>
      <c r="O21" s="11"/>
      <c r="P21" s="7">
        <v>9081.65</v>
      </c>
      <c r="Q21" s="2"/>
      <c r="R21" s="6">
        <f t="shared" si="8"/>
        <v>2.0459742407277659E-2</v>
      </c>
      <c r="S21" s="2"/>
      <c r="T21" s="7">
        <v>8848.7184954000004</v>
      </c>
      <c r="U21" s="2"/>
      <c r="V21" s="6">
        <f t="shared" si="9"/>
        <v>1.8392412696967619E-2</v>
      </c>
      <c r="W21" s="2"/>
      <c r="X21" s="7">
        <f t="shared" si="10"/>
        <v>232.93150459999924</v>
      </c>
      <c r="Y21" s="2"/>
      <c r="Z21" s="6">
        <f t="shared" si="11"/>
        <v>2.6323755775606208E-2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34.200000000000003</v>
      </c>
      <c r="E22" s="2"/>
      <c r="F22" s="6">
        <f t="shared" si="4"/>
        <v>6.6246973365617439E-4</v>
      </c>
      <c r="G22" s="2"/>
      <c r="H22" s="7">
        <v>317.70020826923098</v>
      </c>
      <c r="I22" s="2"/>
      <c r="J22" s="6">
        <f t="shared" si="5"/>
        <v>8.4731353052201891E-3</v>
      </c>
      <c r="K22" s="2"/>
      <c r="L22" s="7">
        <f t="shared" si="6"/>
        <v>-283.500208269231</v>
      </c>
      <c r="M22" s="2"/>
      <c r="N22" s="6">
        <f t="shared" si="7"/>
        <v>-0.89235134535694849</v>
      </c>
      <c r="O22" s="11"/>
      <c r="P22" s="7">
        <v>768.08</v>
      </c>
      <c r="Q22" s="2"/>
      <c r="R22" s="6">
        <f t="shared" si="8"/>
        <v>1.730381477835176E-3</v>
      </c>
      <c r="S22" s="2"/>
      <c r="T22" s="7">
        <v>3116.7186799999999</v>
      </c>
      <c r="U22" s="2"/>
      <c r="V22" s="6">
        <f t="shared" si="9"/>
        <v>6.478223513688223E-3</v>
      </c>
      <c r="W22" s="2"/>
      <c r="X22" s="7">
        <f t="shared" si="10"/>
        <v>-2348.63868</v>
      </c>
      <c r="Y22" s="2"/>
      <c r="Z22" s="6">
        <f t="shared" si="11"/>
        <v>-0.75356133200959929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2.3398547215496369E-2</v>
      </c>
      <c r="G23" s="2"/>
      <c r="H23" s="7">
        <v>1025</v>
      </c>
      <c r="I23" s="2"/>
      <c r="J23" s="6">
        <f t="shared" si="5"/>
        <v>2.7336978263768501E-2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11026.85</v>
      </c>
      <c r="Q23" s="2"/>
      <c r="R23" s="6">
        <f t="shared" si="8"/>
        <v>2.484201775709146E-2</v>
      </c>
      <c r="S23" s="2"/>
      <c r="T23" s="7">
        <v>9557.5</v>
      </c>
      <c r="U23" s="2"/>
      <c r="V23" s="6">
        <f t="shared" si="9"/>
        <v>1.9865643193717822E-2</v>
      </c>
      <c r="W23" s="2"/>
      <c r="X23" s="7">
        <f t="shared" si="10"/>
        <v>1469.3500000000004</v>
      </c>
      <c r="Y23" s="2"/>
      <c r="Z23" s="6">
        <f t="shared" si="11"/>
        <v>0.15373790217106989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26.94</v>
      </c>
      <c r="E24" s="2"/>
      <c r="F24" s="6">
        <f t="shared" si="4"/>
        <v>5.2184019370460051E-4</v>
      </c>
      <c r="G24" s="2"/>
      <c r="H24" s="7">
        <v>44.649759000000003</v>
      </c>
      <c r="I24" s="2"/>
      <c r="J24" s="6">
        <f t="shared" si="5"/>
        <v>1.1908190158687825E-3</v>
      </c>
      <c r="K24" s="2"/>
      <c r="L24" s="7">
        <f t="shared" si="6"/>
        <v>-17.709759000000002</v>
      </c>
      <c r="M24" s="2"/>
      <c r="N24" s="6">
        <f t="shared" si="7"/>
        <v>-0.39663728084176225</v>
      </c>
      <c r="O24" s="11"/>
      <c r="P24" s="7">
        <v>346.98</v>
      </c>
      <c r="Q24" s="2"/>
      <c r="R24" s="6">
        <f t="shared" si="8"/>
        <v>7.8169951721077146E-4</v>
      </c>
      <c r="S24" s="2"/>
      <c r="T24" s="7">
        <v>438.025328</v>
      </c>
      <c r="U24" s="2"/>
      <c r="V24" s="6">
        <f t="shared" si="9"/>
        <v>9.104530343561827E-4</v>
      </c>
      <c r="W24" s="2"/>
      <c r="X24" s="7">
        <f t="shared" si="10"/>
        <v>-91.045327999999984</v>
      </c>
      <c r="Y24" s="2"/>
      <c r="Z24" s="6">
        <f t="shared" si="11"/>
        <v>-0.20785402619457655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1.2403874092009685E-2</v>
      </c>
      <c r="G25" s="2"/>
      <c r="H25" s="7">
        <v>560.123953846154</v>
      </c>
      <c r="I25" s="2"/>
      <c r="J25" s="6">
        <f t="shared" si="5"/>
        <v>1.4938630586642326E-2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7060.93</v>
      </c>
      <c r="Q25" s="2"/>
      <c r="R25" s="6">
        <f t="shared" si="8"/>
        <v>1.5907330601357579E-2</v>
      </c>
      <c r="S25" s="2"/>
      <c r="T25" s="7">
        <v>5706.5558000000001</v>
      </c>
      <c r="U25" s="2"/>
      <c r="V25" s="6">
        <f t="shared" si="9"/>
        <v>1.1861302787113885E-2</v>
      </c>
      <c r="W25" s="2"/>
      <c r="X25" s="7">
        <f t="shared" si="10"/>
        <v>1354.3742000000002</v>
      </c>
      <c r="Y25" s="2"/>
      <c r="Z25" s="6">
        <f t="shared" si="11"/>
        <v>0.23733653844232983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116.92</v>
      </c>
      <c r="E27" s="2"/>
      <c r="F27" s="6">
        <f t="shared" si="4"/>
        <v>2.2647941888619856E-3</v>
      </c>
      <c r="G27" s="2"/>
      <c r="H27" s="7"/>
      <c r="I27" s="2"/>
      <c r="J27" s="6">
        <f t="shared" si="5"/>
        <v>0</v>
      </c>
      <c r="K27" s="2"/>
      <c r="L27" s="7">
        <f t="shared" si="6"/>
        <v>116.92</v>
      </c>
      <c r="M27" s="2"/>
      <c r="N27" s="6">
        <f t="shared" si="7"/>
        <v>0</v>
      </c>
      <c r="O27" s="11"/>
      <c r="P27" s="7">
        <v>814.78</v>
      </c>
      <c r="Q27" s="2"/>
      <c r="R27" s="6">
        <f t="shared" si="8"/>
        <v>1.8355903297970842E-3</v>
      </c>
      <c r="S27" s="2"/>
      <c r="T27" s="7"/>
      <c r="U27" s="2"/>
      <c r="V27" s="6">
        <f t="shared" si="9"/>
        <v>0</v>
      </c>
      <c r="W27" s="2"/>
      <c r="X27" s="7">
        <f t="shared" si="10"/>
        <v>814.78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1.0073026634382566E-2</v>
      </c>
      <c r="G28" s="2"/>
      <c r="H28" s="7">
        <v>195.39207692307701</v>
      </c>
      <c r="I28" s="2"/>
      <c r="J28" s="6">
        <f t="shared" si="5"/>
        <v>5.2111502046426729E-3</v>
      </c>
      <c r="K28" s="2"/>
      <c r="L28" s="7">
        <f t="shared" si="6"/>
        <v>324.62792307692297</v>
      </c>
      <c r="M28" s="2"/>
      <c r="N28" s="6">
        <f t="shared" si="7"/>
        <v>1.6614180482083938</v>
      </c>
      <c r="O28" s="11"/>
      <c r="P28" s="7">
        <v>4940.1899999999996</v>
      </c>
      <c r="Q28" s="2"/>
      <c r="R28" s="6">
        <f t="shared" si="8"/>
        <v>1.112958711720987E-2</v>
      </c>
      <c r="S28" s="2"/>
      <c r="T28" s="7">
        <v>1990.6590000000001</v>
      </c>
      <c r="U28" s="2"/>
      <c r="V28" s="6">
        <f t="shared" si="9"/>
        <v>4.1376637629467047E-3</v>
      </c>
      <c r="W28" s="2"/>
      <c r="X28" s="7">
        <f t="shared" si="10"/>
        <v>2949.5309999999995</v>
      </c>
      <c r="Y28" s="2"/>
      <c r="Z28" s="6">
        <f t="shared" si="11"/>
        <v>1.4816857131231413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5.7968038740920094E-3</v>
      </c>
      <c r="G29" s="2"/>
      <c r="H29" s="7">
        <v>450.05883461538502</v>
      </c>
      <c r="I29" s="2"/>
      <c r="J29" s="6">
        <f t="shared" si="5"/>
        <v>1.2003169345656355E-2</v>
      </c>
      <c r="K29" s="2"/>
      <c r="L29" s="7">
        <f t="shared" si="6"/>
        <v>-150.79883461538503</v>
      </c>
      <c r="M29" s="2"/>
      <c r="N29" s="6">
        <f t="shared" si="7"/>
        <v>-0.33506471380404285</v>
      </c>
      <c r="O29" s="11"/>
      <c r="P29" s="7">
        <v>2842.98</v>
      </c>
      <c r="Q29" s="2"/>
      <c r="R29" s="6">
        <f t="shared" si="8"/>
        <v>6.4048535749607442E-3</v>
      </c>
      <c r="S29" s="2"/>
      <c r="T29" s="7">
        <v>4390.5853999999999</v>
      </c>
      <c r="U29" s="2"/>
      <c r="V29" s="6">
        <f t="shared" si="9"/>
        <v>9.1260060651788474E-3</v>
      </c>
      <c r="W29" s="2"/>
      <c r="X29" s="7">
        <f t="shared" si="10"/>
        <v>-1547.6053999999999</v>
      </c>
      <c r="Y29" s="2"/>
      <c r="Z29" s="6">
        <f t="shared" si="11"/>
        <v>-0.35248270082618138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932.53</v>
      </c>
      <c r="E30" s="2"/>
      <c r="F30" s="6">
        <f t="shared" si="4"/>
        <v>1.8063535108958837E-2</v>
      </c>
      <c r="G30" s="2"/>
      <c r="H30" s="7">
        <v>350</v>
      </c>
      <c r="I30" s="2"/>
      <c r="J30" s="6">
        <f t="shared" si="5"/>
        <v>9.3345779437258303E-3</v>
      </c>
      <c r="K30" s="2"/>
      <c r="L30" s="7">
        <f t="shared" si="6"/>
        <v>582.53</v>
      </c>
      <c r="M30" s="2"/>
      <c r="N30" s="6">
        <f t="shared" si="7"/>
        <v>1.6643714285714284</v>
      </c>
      <c r="O30" s="11"/>
      <c r="P30" s="7">
        <v>1620.53</v>
      </c>
      <c r="Q30" s="2"/>
      <c r="R30" s="6">
        <f t="shared" si="8"/>
        <v>3.6508372777265875E-3</v>
      </c>
      <c r="S30" s="2"/>
      <c r="T30" s="7">
        <v>3150</v>
      </c>
      <c r="U30" s="2"/>
      <c r="V30" s="6">
        <f t="shared" si="9"/>
        <v>6.5474000586148197E-3</v>
      </c>
      <c r="W30" s="2"/>
      <c r="X30" s="7">
        <f t="shared" si="10"/>
        <v>-1529.47</v>
      </c>
      <c r="Y30" s="2"/>
      <c r="Z30" s="6">
        <f t="shared" si="11"/>
        <v>-0.48554603174603178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12967.17</v>
      </c>
      <c r="E31" s="1"/>
      <c r="F31" s="5">
        <f t="shared" ref="F31:F41" si="12">IF(D$12=0,0,D31/D$12)</f>
        <v>0.2511800484261501</v>
      </c>
      <c r="G31" s="1"/>
      <c r="H31" s="1">
        <f>SUM(OSRRefH22_1x_0)</f>
        <v>16527.53331923077</v>
      </c>
      <c r="I31" s="1"/>
      <c r="J31" s="5">
        <f t="shared" ref="J31:J41" si="13">IF(H$12=0,0,H31/H$12)</f>
        <v>0.44079299424538659</v>
      </c>
      <c r="K31" s="1"/>
      <c r="L31" s="1">
        <f t="shared" ref="L31:L41" si="14">+D31-H31</f>
        <v>-3560.3633192307698</v>
      </c>
      <c r="M31" s="1"/>
      <c r="N31" s="5">
        <f t="shared" ref="N31:N41" si="15">IF(H31=0,0,L31/H31)</f>
        <v>-0.21542012655258574</v>
      </c>
      <c r="O31" s="13"/>
      <c r="P31" s="1">
        <f>SUM(OSRRefP22_1x_0)</f>
        <v>128147.72</v>
      </c>
      <c r="Q31" s="1"/>
      <c r="R31" s="5">
        <f t="shared" ref="R31:R41" si="16">IF(P$12=0,0,P31/P$12)</f>
        <v>0.2886996681528074</v>
      </c>
      <c r="S31" s="1"/>
      <c r="T31" s="1">
        <f>SUM(OSRRefT22_1x_0)</f>
        <v>162090.0356</v>
      </c>
      <c r="U31" s="1"/>
      <c r="V31" s="5">
        <f t="shared" ref="V31:V41" si="17">IF(T$12=0,0,T31/T$12)</f>
        <v>0.33691057415502168</v>
      </c>
      <c r="W31" s="1"/>
      <c r="X31" s="1">
        <f t="shared" ref="X31:X41" si="18">+P31-T31</f>
        <v>-33942.315600000002</v>
      </c>
      <c r="Y31" s="1"/>
      <c r="Z31" s="5">
        <f t="shared" ref="Z31:Z41" si="19">IF(T31=0,0,X31/T31)</f>
        <v>-0.20940408504666896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4204.72</v>
      </c>
      <c r="E32" s="2"/>
      <c r="F32" s="6">
        <f t="shared" si="12"/>
        <v>8.14473607748184E-2</v>
      </c>
      <c r="G32" s="2"/>
      <c r="H32" s="7">
        <v>4019.23076923077</v>
      </c>
      <c r="I32" s="2"/>
      <c r="J32" s="6">
        <f t="shared" si="13"/>
        <v>0.107193779683445</v>
      </c>
      <c r="K32" s="2"/>
      <c r="L32" s="7">
        <f t="shared" si="14"/>
        <v>185.48923076923029</v>
      </c>
      <c r="M32" s="2"/>
      <c r="N32" s="6">
        <f t="shared" si="15"/>
        <v>4.6150430622009443E-2</v>
      </c>
      <c r="O32" s="11"/>
      <c r="P32" s="7">
        <v>39323.050000000003</v>
      </c>
      <c r="Q32" s="2"/>
      <c r="R32" s="6">
        <f t="shared" si="16"/>
        <v>8.8589570581171909E-2</v>
      </c>
      <c r="S32" s="2"/>
      <c r="T32" s="7">
        <v>39187.5</v>
      </c>
      <c r="U32" s="2"/>
      <c r="V32" s="6">
        <f t="shared" si="17"/>
        <v>8.1452774538720074E-2</v>
      </c>
      <c r="W32" s="2"/>
      <c r="X32" s="7">
        <f t="shared" si="18"/>
        <v>135.55000000000291</v>
      </c>
      <c r="Y32" s="2"/>
      <c r="Z32" s="6">
        <f t="shared" si="19"/>
        <v>3.4590111642743963E-3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4.4209200968523009E-2</v>
      </c>
      <c r="G33" s="2"/>
      <c r="H33" s="7">
        <v>2168.1849999999999</v>
      </c>
      <c r="I33" s="2"/>
      <c r="J33" s="6">
        <f t="shared" si="13"/>
        <v>5.782597679690625E-2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21111.69</v>
      </c>
      <c r="Q33" s="2"/>
      <c r="R33" s="6">
        <f t="shared" si="16"/>
        <v>4.7561813016610381E-2</v>
      </c>
      <c r="S33" s="2"/>
      <c r="T33" s="7">
        <v>23850.035</v>
      </c>
      <c r="U33" s="2"/>
      <c r="V33" s="6">
        <f t="shared" si="17"/>
        <v>4.9573244621258887E-2</v>
      </c>
      <c r="W33" s="2"/>
      <c r="X33" s="7">
        <f t="shared" si="18"/>
        <v>-2738.3450000000012</v>
      </c>
      <c r="Y33" s="2"/>
      <c r="Z33" s="6">
        <f t="shared" si="19"/>
        <v>-0.11481513549141548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7.6964629950660085E-2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26838.813600000001</v>
      </c>
      <c r="U35" s="2"/>
      <c r="V35" s="6">
        <f t="shared" si="17"/>
        <v>5.5785539599299119E-2</v>
      </c>
      <c r="W35" s="2"/>
      <c r="X35" s="7">
        <f t="shared" si="18"/>
        <v>-26838.813600000001</v>
      </c>
      <c r="Y35" s="2"/>
      <c r="Z35" s="6">
        <f t="shared" si="19"/>
        <v>-1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6197.15</v>
      </c>
      <c r="E36" s="2"/>
      <c r="F36" s="6">
        <f t="shared" si="12"/>
        <v>0.12004164648910411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6197.15</v>
      </c>
      <c r="M36" s="2"/>
      <c r="N36" s="6">
        <f t="shared" si="15"/>
        <v>0</v>
      </c>
      <c r="O36" s="11"/>
      <c r="P36" s="7">
        <v>57971.32</v>
      </c>
      <c r="Q36" s="2"/>
      <c r="R36" s="6">
        <f t="shared" si="16"/>
        <v>0.13060162792112265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57971.32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283</v>
      </c>
      <c r="E38" s="2"/>
      <c r="F38" s="6">
        <f t="shared" si="12"/>
        <v>5.4818401937046001E-3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283</v>
      </c>
      <c r="M38" s="2"/>
      <c r="N38" s="6">
        <f t="shared" si="15"/>
        <v>0</v>
      </c>
      <c r="O38" s="11"/>
      <c r="P38" s="7">
        <v>5829.78</v>
      </c>
      <c r="Q38" s="2"/>
      <c r="R38" s="6">
        <f t="shared" si="16"/>
        <v>1.313371436810482E-2</v>
      </c>
      <c r="S38" s="2"/>
      <c r="T38" s="7">
        <v>20952</v>
      </c>
      <c r="U38" s="2"/>
      <c r="V38" s="6">
        <f t="shared" si="17"/>
        <v>4.3549563818443715E-2</v>
      </c>
      <c r="W38" s="2"/>
      <c r="X38" s="7">
        <f t="shared" si="18"/>
        <v>-15122.220000000001</v>
      </c>
      <c r="Y38" s="2"/>
      <c r="Z38" s="6">
        <f t="shared" si="19"/>
        <v>-0.72175544100801836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7454.3287499999997</v>
      </c>
      <c r="I39" s="2"/>
      <c r="J39" s="6">
        <f t="shared" si="13"/>
        <v>0.19880860781437523</v>
      </c>
      <c r="K39" s="2"/>
      <c r="L39" s="7">
        <f t="shared" si="14"/>
        <v>-7454.3287499999997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8.8129422657976606E-3</v>
      </c>
      <c r="S39" s="2"/>
      <c r="T39" s="7">
        <v>51261.686999999998</v>
      </c>
      <c r="U39" s="2"/>
      <c r="V39" s="6">
        <f t="shared" si="17"/>
        <v>0.10654945157729985</v>
      </c>
      <c r="W39" s="2"/>
      <c r="X39" s="7">
        <f t="shared" si="18"/>
        <v>-47349.807000000001</v>
      </c>
      <c r="Y39" s="2"/>
      <c r="Z39" s="6">
        <f t="shared" si="19"/>
        <v>-0.92368803625210394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2.6670222696359514E-3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900</v>
      </c>
      <c r="U42" s="1"/>
      <c r="V42" s="5">
        <f t="shared" ref="V42:V50" si="25">IF(T$12=0,0,T42/T$12)</f>
        <v>1.8706857310328057E-3</v>
      </c>
      <c r="W42" s="1"/>
      <c r="X42" s="1">
        <f t="shared" ref="X42:X50" si="26">+P42-T42</f>
        <v>-900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2.6670222696359514E-3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900</v>
      </c>
      <c r="U43" s="2"/>
      <c r="V43" s="6">
        <f t="shared" si="25"/>
        <v>1.8706857310328057E-3</v>
      </c>
      <c r="W43" s="2"/>
      <c r="X43" s="7">
        <f t="shared" si="26"/>
        <v>-900</v>
      </c>
      <c r="Y43" s="2"/>
      <c r="Z43" s="6">
        <f t="shared" si="27"/>
        <v>-1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45.38</v>
      </c>
      <c r="E44" s="1"/>
      <c r="F44" s="5">
        <f t="shared" si="20"/>
        <v>8.7903147699757876E-4</v>
      </c>
      <c r="G44" s="1"/>
      <c r="H44" s="1">
        <f>SUM(OSRRefH22_3x_0)</f>
        <v>2000</v>
      </c>
      <c r="I44" s="1"/>
      <c r="J44" s="5">
        <f t="shared" si="21"/>
        <v>5.3340445392719031E-2</v>
      </c>
      <c r="K44" s="1"/>
      <c r="L44" s="1">
        <f t="shared" si="22"/>
        <v>-1954.62</v>
      </c>
      <c r="M44" s="1"/>
      <c r="N44" s="5">
        <f t="shared" si="23"/>
        <v>-0.9773099999999999</v>
      </c>
      <c r="O44" s="13"/>
      <c r="P44" s="1">
        <f>SUM(OSRRefP22_3x_0)</f>
        <v>753.27</v>
      </c>
      <c r="Q44" s="1"/>
      <c r="R44" s="5">
        <f t="shared" si="24"/>
        <v>1.6970165292793757E-3</v>
      </c>
      <c r="S44" s="1"/>
      <c r="T44" s="1">
        <f>SUM(OSRRefT22_3x_0)</f>
        <v>15700</v>
      </c>
      <c r="U44" s="1"/>
      <c r="V44" s="5">
        <f t="shared" si="25"/>
        <v>3.2633073308016722E-2</v>
      </c>
      <c r="W44" s="1"/>
      <c r="X44" s="1">
        <f t="shared" si="26"/>
        <v>-14946.73</v>
      </c>
      <c r="Y44" s="1"/>
      <c r="Z44" s="5">
        <f t="shared" si="27"/>
        <v>-0.95202101910828019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>
        <v>45.38</v>
      </c>
      <c r="E45" s="2"/>
      <c r="F45" s="6">
        <f t="shared" si="20"/>
        <v>8.7903147699757876E-4</v>
      </c>
      <c r="G45" s="2"/>
      <c r="H45" s="7">
        <v>2000</v>
      </c>
      <c r="I45" s="2"/>
      <c r="J45" s="6">
        <f t="shared" si="21"/>
        <v>5.3340445392719031E-2</v>
      </c>
      <c r="K45" s="2"/>
      <c r="L45" s="7">
        <f t="shared" si="22"/>
        <v>-1954.62</v>
      </c>
      <c r="M45" s="2"/>
      <c r="N45" s="6">
        <f t="shared" si="23"/>
        <v>-0.9773099999999999</v>
      </c>
      <c r="O45" s="11"/>
      <c r="P45" s="7">
        <v>753.27</v>
      </c>
      <c r="Q45" s="2"/>
      <c r="R45" s="6">
        <f t="shared" si="24"/>
        <v>1.6970165292793757E-3</v>
      </c>
      <c r="S45" s="2"/>
      <c r="T45" s="7">
        <v>15700</v>
      </c>
      <c r="U45" s="2"/>
      <c r="V45" s="6">
        <f t="shared" si="25"/>
        <v>3.2633073308016722E-2</v>
      </c>
      <c r="W45" s="2"/>
      <c r="X45" s="7">
        <f t="shared" si="26"/>
        <v>-14946.73</v>
      </c>
      <c r="Y45" s="2"/>
      <c r="Z45" s="6">
        <f t="shared" si="27"/>
        <v>-0.95202101910828019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5.3340445392719034E-4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180</v>
      </c>
      <c r="U46" s="1"/>
      <c r="V46" s="5">
        <f t="shared" si="25"/>
        <v>3.741371462065611E-4</v>
      </c>
      <c r="W46" s="1"/>
      <c r="X46" s="1">
        <f t="shared" si="26"/>
        <v>-180</v>
      </c>
      <c r="Y46" s="1"/>
      <c r="Z46" s="5">
        <f t="shared" si="2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5.3340445392719034E-4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180</v>
      </c>
      <c r="U47" s="2"/>
      <c r="V47" s="6">
        <f t="shared" si="25"/>
        <v>3.741371462065611E-4</v>
      </c>
      <c r="W47" s="2"/>
      <c r="X47" s="7">
        <f t="shared" si="26"/>
        <v>-180</v>
      </c>
      <c r="Y47" s="2"/>
      <c r="Z47" s="6">
        <f t="shared" si="27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2.6670222696359517E-4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4.7760763631530214E-6</v>
      </c>
      <c r="S48" s="1"/>
      <c r="T48" s="1">
        <f>SUM(OSRRefT22_5x_0)</f>
        <v>90</v>
      </c>
      <c r="U48" s="1"/>
      <c r="V48" s="5">
        <f t="shared" si="25"/>
        <v>1.8706857310328055E-4</v>
      </c>
      <c r="W48" s="1"/>
      <c r="X48" s="1">
        <f t="shared" si="26"/>
        <v>-87.88</v>
      </c>
      <c r="Y48" s="1"/>
      <c r="Z48" s="5">
        <f t="shared" si="27"/>
        <v>-0.97644444444444445</v>
      </c>
    </row>
    <row r="49" spans="1:26" s="24" customFormat="1" hidden="1" outlineLevel="2" x14ac:dyDescent="0.25">
      <c r="A49" s="26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3.6496432586357996E-6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2.6670222696359517E-4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1.126433104517222E-6</v>
      </c>
      <c r="S50" s="2"/>
      <c r="T50" s="7">
        <v>90</v>
      </c>
      <c r="U50" s="2"/>
      <c r="V50" s="6">
        <f t="shared" si="25"/>
        <v>1.8706857310328055E-4</v>
      </c>
      <c r="W50" s="2"/>
      <c r="X50" s="7">
        <f t="shared" si="26"/>
        <v>-89.5</v>
      </c>
      <c r="Y50" s="2"/>
      <c r="Z50" s="6">
        <f t="shared" si="27"/>
        <v>-0.99444444444444446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1.3335111348179757E-3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450</v>
      </c>
      <c r="U51" s="1"/>
      <c r="V51" s="5">
        <f t="shared" ref="V51:V61" si="33">IF(T$12=0,0,T51/T$12)</f>
        <v>9.3534286551640283E-4</v>
      </c>
      <c r="W51" s="1"/>
      <c r="X51" s="1">
        <f t="shared" ref="X51:X61" si="34">+P51-T51</f>
        <v>-450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1.3335111348179757E-3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450</v>
      </c>
      <c r="U52" s="2"/>
      <c r="V52" s="6">
        <f t="shared" si="33"/>
        <v>9.3534286551640283E-4</v>
      </c>
      <c r="W52" s="2"/>
      <c r="X52" s="7">
        <f t="shared" si="34"/>
        <v>-450</v>
      </c>
      <c r="Y52" s="2"/>
      <c r="Z52" s="6">
        <f t="shared" si="35"/>
        <v>-1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5.6193704600484261E-4</v>
      </c>
      <c r="G53" s="1"/>
      <c r="H53" s="1">
        <f>SUM(OSRRefH22_7x_0)</f>
        <v>33</v>
      </c>
      <c r="I53" s="1"/>
      <c r="J53" s="5">
        <f t="shared" si="29"/>
        <v>8.8011734897986403E-4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261.08999999999997</v>
      </c>
      <c r="Q53" s="1"/>
      <c r="R53" s="5">
        <f t="shared" si="32"/>
        <v>5.8820083851680296E-4</v>
      </c>
      <c r="S53" s="1"/>
      <c r="T53" s="1">
        <f>SUM(OSRRefT22_7x_0)</f>
        <v>297</v>
      </c>
      <c r="U53" s="1"/>
      <c r="V53" s="5">
        <f t="shared" si="33"/>
        <v>6.173262912408258E-4</v>
      </c>
      <c r="W53" s="1"/>
      <c r="X53" s="1">
        <f t="shared" si="34"/>
        <v>-35.910000000000025</v>
      </c>
      <c r="Y53" s="1"/>
      <c r="Z53" s="5">
        <f t="shared" si="35"/>
        <v>-0.12090909090909099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5.6193704600484261E-4</v>
      </c>
      <c r="G54" s="2"/>
      <c r="H54" s="7">
        <v>33</v>
      </c>
      <c r="I54" s="2"/>
      <c r="J54" s="6">
        <f t="shared" si="29"/>
        <v>8.8011734897986403E-4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261.08999999999997</v>
      </c>
      <c r="Q54" s="2"/>
      <c r="R54" s="6">
        <f t="shared" si="32"/>
        <v>5.8820083851680296E-4</v>
      </c>
      <c r="S54" s="2"/>
      <c r="T54" s="7">
        <v>297</v>
      </c>
      <c r="U54" s="2"/>
      <c r="V54" s="6">
        <f t="shared" si="33"/>
        <v>6.173262912408258E-4</v>
      </c>
      <c r="W54" s="2"/>
      <c r="X54" s="7">
        <f t="shared" si="34"/>
        <v>-35.910000000000025</v>
      </c>
      <c r="Y54" s="2"/>
      <c r="Z54" s="6">
        <f t="shared" si="35"/>
        <v>-0.12090909090909099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1.549636803874092E-2</v>
      </c>
      <c r="G55" s="1"/>
      <c r="H55" s="1">
        <f>SUM(OSRRefH22_8x_0)</f>
        <v>800</v>
      </c>
      <c r="I55" s="1"/>
      <c r="J55" s="5">
        <f t="shared" si="29"/>
        <v>2.1336178157087611E-2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7200</v>
      </c>
      <c r="Q55" s="1"/>
      <c r="R55" s="5">
        <f t="shared" si="32"/>
        <v>1.6220636705047996E-2</v>
      </c>
      <c r="S55" s="1"/>
      <c r="T55" s="1">
        <f>SUM(OSRRefT22_8x_0)</f>
        <v>7200</v>
      </c>
      <c r="U55" s="1"/>
      <c r="V55" s="5">
        <f t="shared" si="33"/>
        <v>1.4965485848262445E-2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1.549636803874092E-2</v>
      </c>
      <c r="G56" s="2"/>
      <c r="H56" s="7">
        <v>800</v>
      </c>
      <c r="I56" s="2"/>
      <c r="J56" s="6">
        <f t="shared" si="29"/>
        <v>2.1336178157087611E-2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7200</v>
      </c>
      <c r="Q56" s="2"/>
      <c r="R56" s="6">
        <f t="shared" si="32"/>
        <v>1.6220636705047996E-2</v>
      </c>
      <c r="S56" s="2"/>
      <c r="T56" s="7">
        <v>7200</v>
      </c>
      <c r="U56" s="2"/>
      <c r="V56" s="6">
        <f t="shared" si="33"/>
        <v>1.4965485848262445E-2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22581.23</v>
      </c>
      <c r="E57" s="1"/>
      <c r="F57" s="5">
        <f t="shared" si="28"/>
        <v>0.43740881355932204</v>
      </c>
      <c r="G57" s="1"/>
      <c r="H57" s="1">
        <f>SUM(OSRRefH22_9x_0)</f>
        <v>1500</v>
      </c>
      <c r="I57" s="1"/>
      <c r="J57" s="5">
        <f t="shared" si="29"/>
        <v>4.0005334044539272E-2</v>
      </c>
      <c r="K57" s="1"/>
      <c r="L57" s="1">
        <f t="shared" si="30"/>
        <v>21081.23</v>
      </c>
      <c r="M57" s="1"/>
      <c r="N57" s="5">
        <f t="shared" si="31"/>
        <v>14.054153333333334</v>
      </c>
      <c r="O57" s="13"/>
      <c r="P57" s="1">
        <f>SUM(OSRRefP22_9x_0)</f>
        <v>149496.13</v>
      </c>
      <c r="Q57" s="1"/>
      <c r="R57" s="5">
        <f t="shared" si="32"/>
        <v>0.33679477965842042</v>
      </c>
      <c r="S57" s="1"/>
      <c r="T57" s="1">
        <f>SUM(OSRRefT22_9x_0)</f>
        <v>138500</v>
      </c>
      <c r="U57" s="1"/>
      <c r="V57" s="5">
        <f t="shared" si="33"/>
        <v>0.28787774860893728</v>
      </c>
      <c r="W57" s="1"/>
      <c r="X57" s="1">
        <f t="shared" si="34"/>
        <v>10996.130000000005</v>
      </c>
      <c r="Y57" s="1"/>
      <c r="Z57" s="5">
        <f t="shared" si="35"/>
        <v>7.9394440433213032E-2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0.25981746264344524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4.0005334044539272E-2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13500</v>
      </c>
      <c r="U59" s="2"/>
      <c r="V59" s="6">
        <f t="shared" si="33"/>
        <v>2.8060285965492083E-2</v>
      </c>
      <c r="W59" s="2"/>
      <c r="X59" s="7">
        <f t="shared" si="34"/>
        <v>-13500</v>
      </c>
      <c r="Y59" s="2"/>
      <c r="Z59" s="6">
        <f t="shared" si="35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>
        <v>22581.23</v>
      </c>
      <c r="E60" s="2"/>
      <c r="F60" s="6">
        <f t="shared" si="28"/>
        <v>0.43740881355932204</v>
      </c>
      <c r="G60" s="2"/>
      <c r="H60" s="7"/>
      <c r="I60" s="2"/>
      <c r="J60" s="6">
        <f t="shared" si="29"/>
        <v>0</v>
      </c>
      <c r="K60" s="2"/>
      <c r="L60" s="7">
        <f t="shared" si="30"/>
        <v>22581.23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0.32201147159473642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1.4783308063684022E-2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SUM(OSRRefD22_10x_0)</f>
        <v>3.72</v>
      </c>
      <c r="E62" s="1"/>
      <c r="F62" s="5">
        <f t="shared" ref="F62:F64" si="36">IF(D$12=0,0,D62/D$12)</f>
        <v>7.205811138014528E-5</v>
      </c>
      <c r="G62" s="1"/>
      <c r="H62" s="1">
        <f>SUM(OSRRefH22_10x_0)</f>
        <v>7000</v>
      </c>
      <c r="I62" s="1"/>
      <c r="J62" s="5">
        <f t="shared" ref="J62:J64" si="37">IF(H$12=0,0,H62/H$12)</f>
        <v>0.18669155887451661</v>
      </c>
      <c r="K62" s="1"/>
      <c r="L62" s="1">
        <f t="shared" ref="L62:L64" si="38">+D62-H62</f>
        <v>-6996.28</v>
      </c>
      <c r="M62" s="1"/>
      <c r="N62" s="5">
        <f t="shared" ref="N62:N64" si="39">IF(H62=0,0,L62/H62)</f>
        <v>-0.99946857142857137</v>
      </c>
      <c r="O62" s="13"/>
      <c r="P62" s="1">
        <f>SUM(OSRRefP22_10x_0)</f>
        <v>42061.89</v>
      </c>
      <c r="Q62" s="1"/>
      <c r="R62" s="5">
        <f t="shared" ref="R62:R64" si="40">IF(P$12=0,0,P62/P$12)</f>
        <v>9.4759810669123798E-2</v>
      </c>
      <c r="S62" s="1"/>
      <c r="T62" s="1">
        <f>SUM(OSRRefT22_10x_0)</f>
        <v>63000</v>
      </c>
      <c r="U62" s="1"/>
      <c r="V62" s="5">
        <f t="shared" ref="V62:V64" si="41">IF(T$12=0,0,T62/T$12)</f>
        <v>0.13094800117229638</v>
      </c>
      <c r="W62" s="1"/>
      <c r="X62" s="1">
        <f t="shared" ref="X62:X64" si="42">+P62-T62</f>
        <v>-20938.11</v>
      </c>
      <c r="Y62" s="1"/>
      <c r="Z62" s="5">
        <f t="shared" ref="Z62:Z64" si="43">IF(T62=0,0,X62/T62)</f>
        <v>-0.33235095238095241</v>
      </c>
    </row>
    <row r="63" spans="1:26" s="24" customFormat="1" hidden="1" outlineLevel="2" x14ac:dyDescent="0.25">
      <c r="A63" s="26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0.18669155887451661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63000</v>
      </c>
      <c r="U63" s="2"/>
      <c r="V63" s="6">
        <f t="shared" si="41"/>
        <v>0.13094800117229638</v>
      </c>
      <c r="W63" s="2"/>
      <c r="X63" s="7">
        <f t="shared" si="42"/>
        <v>-63000</v>
      </c>
      <c r="Y63" s="2"/>
      <c r="Z63" s="6">
        <f t="shared" si="43"/>
        <v>-1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7">
        <v>3.72</v>
      </c>
      <c r="E64" s="2"/>
      <c r="F64" s="6">
        <f t="shared" si="36"/>
        <v>7.205811138014528E-5</v>
      </c>
      <c r="G64" s="2"/>
      <c r="H64" s="7"/>
      <c r="I64" s="2"/>
      <c r="J64" s="6">
        <f t="shared" si="37"/>
        <v>0</v>
      </c>
      <c r="K64" s="2"/>
      <c r="L64" s="7">
        <f t="shared" si="38"/>
        <v>3.72</v>
      </c>
      <c r="M64" s="2"/>
      <c r="N64" s="6">
        <f t="shared" si="39"/>
        <v>0</v>
      </c>
      <c r="O64" s="11"/>
      <c r="P64" s="7">
        <v>42061.89</v>
      </c>
      <c r="Q64" s="2"/>
      <c r="R64" s="6">
        <f t="shared" si="40"/>
        <v>9.4759810669123798E-2</v>
      </c>
      <c r="S64" s="2"/>
      <c r="T64" s="7"/>
      <c r="U64" s="2"/>
      <c r="V64" s="6">
        <f t="shared" si="41"/>
        <v>0</v>
      </c>
      <c r="W64" s="2"/>
      <c r="X64" s="7">
        <f t="shared" si="42"/>
        <v>42061.89</v>
      </c>
      <c r="Y64" s="2"/>
      <c r="Z64" s="6">
        <f t="shared" si="43"/>
        <v>0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87</v>
      </c>
      <c r="E65" s="1"/>
      <c r="F65" s="5">
        <f t="shared" ref="F65:F68" si="44">IF(D$12=0,0,D65/D$12)</f>
        <v>1.6852300242130751E-3</v>
      </c>
      <c r="G65" s="1"/>
      <c r="H65" s="1">
        <f>SUM(OSRRefH22_11x_0)</f>
        <v>700</v>
      </c>
      <c r="I65" s="1"/>
      <c r="J65" s="5">
        <f t="shared" ref="J65:J68" si="45">IF(H$12=0,0,H65/H$12)</f>
        <v>1.8669155887451661E-2</v>
      </c>
      <c r="K65" s="1"/>
      <c r="L65" s="1">
        <f t="shared" ref="L65:L68" si="46">+D65-H65</f>
        <v>-613</v>
      </c>
      <c r="M65" s="1"/>
      <c r="N65" s="5">
        <f t="shared" ref="N65:N68" si="47">IF(H65=0,0,L65/H65)</f>
        <v>-0.87571428571428567</v>
      </c>
      <c r="O65" s="13"/>
      <c r="P65" s="1">
        <f>SUM(OSRRefP22_11x_0)</f>
        <v>1711.83</v>
      </c>
      <c r="Q65" s="1"/>
      <c r="R65" s="5">
        <f t="shared" ref="R65:R68" si="48">IF(P$12=0,0,P65/P$12)</f>
        <v>3.8565239626114321E-3</v>
      </c>
      <c r="S65" s="1"/>
      <c r="T65" s="1">
        <f>SUM(OSRRefT22_11x_0)</f>
        <v>6300</v>
      </c>
      <c r="U65" s="1"/>
      <c r="V65" s="5">
        <f t="shared" ref="V65:V68" si="49">IF(T$12=0,0,T65/T$12)</f>
        <v>1.3094800117229639E-2</v>
      </c>
      <c r="W65" s="1"/>
      <c r="X65" s="1">
        <f t="shared" ref="X65:X68" si="50">+P65-T65</f>
        <v>-4588.17</v>
      </c>
      <c r="Y65" s="1"/>
      <c r="Z65" s="5">
        <f t="shared" ref="Z65:Z68" si="51">IF(T65=0,0,X65/T65)</f>
        <v>-0.72828095238095236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7">
        <v>87</v>
      </c>
      <c r="E66" s="2"/>
      <c r="F66" s="6">
        <f t="shared" si="44"/>
        <v>1.6852300242130751E-3</v>
      </c>
      <c r="G66" s="2"/>
      <c r="H66" s="7">
        <v>700</v>
      </c>
      <c r="I66" s="2"/>
      <c r="J66" s="6">
        <f t="shared" si="45"/>
        <v>1.8669155887451661E-2</v>
      </c>
      <c r="K66" s="2"/>
      <c r="L66" s="7">
        <f t="shared" si="46"/>
        <v>-613</v>
      </c>
      <c r="M66" s="2"/>
      <c r="N66" s="6">
        <f t="shared" si="47"/>
        <v>-0.87571428571428567</v>
      </c>
      <c r="O66" s="11"/>
      <c r="P66" s="7">
        <v>1711.83</v>
      </c>
      <c r="Q66" s="2"/>
      <c r="R66" s="6">
        <f t="shared" si="48"/>
        <v>3.8565239626114321E-3</v>
      </c>
      <c r="S66" s="2"/>
      <c r="T66" s="7">
        <v>6300</v>
      </c>
      <c r="U66" s="2"/>
      <c r="V66" s="6">
        <f t="shared" si="49"/>
        <v>1.3094800117229639E-2</v>
      </c>
      <c r="W66" s="2"/>
      <c r="X66" s="7">
        <f t="shared" si="50"/>
        <v>-4588.17</v>
      </c>
      <c r="Y66" s="2"/>
      <c r="Z66" s="6">
        <f t="shared" si="51"/>
        <v>-0.72828095238095236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SUM(OSRRefD22_12x_0)</f>
        <v>0</v>
      </c>
      <c r="E67" s="1"/>
      <c r="F67" s="5">
        <f t="shared" si="44"/>
        <v>0</v>
      </c>
      <c r="G67" s="1"/>
      <c r="H67" s="1">
        <f>SUM(OSRRefH22_12x_0)</f>
        <v>3000</v>
      </c>
      <c r="I67" s="1"/>
      <c r="J67" s="5">
        <f t="shared" si="45"/>
        <v>8.0010668089078543E-2</v>
      </c>
      <c r="K67" s="1"/>
      <c r="L67" s="1">
        <f t="shared" si="46"/>
        <v>-3000</v>
      </c>
      <c r="M67" s="1"/>
      <c r="N67" s="5">
        <f t="shared" si="47"/>
        <v>-1</v>
      </c>
      <c r="O67" s="13"/>
      <c r="P67" s="1">
        <f>SUM(OSRRefP22_12x_0)</f>
        <v>0</v>
      </c>
      <c r="Q67" s="1"/>
      <c r="R67" s="5">
        <f t="shared" si="48"/>
        <v>0</v>
      </c>
      <c r="S67" s="1"/>
      <c r="T67" s="1">
        <f>SUM(OSRRefT22_12x_0)</f>
        <v>3000</v>
      </c>
      <c r="U67" s="1"/>
      <c r="V67" s="5">
        <f t="shared" si="49"/>
        <v>6.2356191034426854E-3</v>
      </c>
      <c r="W67" s="1"/>
      <c r="X67" s="1">
        <f t="shared" si="50"/>
        <v>-3000</v>
      </c>
      <c r="Y67" s="1"/>
      <c r="Z67" s="5">
        <f t="shared" si="51"/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4"/>
        <v>0</v>
      </c>
      <c r="G68" s="2"/>
      <c r="H68" s="7">
        <v>3000</v>
      </c>
      <c r="I68" s="2"/>
      <c r="J68" s="6">
        <f t="shared" si="45"/>
        <v>8.0010668089078543E-2</v>
      </c>
      <c r="K68" s="2"/>
      <c r="L68" s="7">
        <f t="shared" si="46"/>
        <v>-3000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3000</v>
      </c>
      <c r="U68" s="2"/>
      <c r="V68" s="6">
        <f t="shared" si="49"/>
        <v>6.2356191034426854E-3</v>
      </c>
      <c r="W68" s="2"/>
      <c r="X68" s="7">
        <f t="shared" si="50"/>
        <v>-3000</v>
      </c>
      <c r="Y68" s="2"/>
      <c r="Z68" s="6">
        <f t="shared" si="51"/>
        <v>-1</v>
      </c>
    </row>
    <row r="69" spans="1:26" s="59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293</v>
      </c>
      <c r="C70" s="10"/>
      <c r="D70" s="4">
        <f>SUM(OSRRefD25x_0)</f>
        <v>210</v>
      </c>
      <c r="E70" s="4"/>
      <c r="F70" s="12">
        <f t="shared" ref="F70:F71" si="52">IF(D$12=0,0,D70/D$12)</f>
        <v>4.0677966101694916E-3</v>
      </c>
      <c r="G70" s="4"/>
      <c r="H70" s="4">
        <f>SUM(OSRRefH25x_0)</f>
        <v>3500</v>
      </c>
      <c r="I70" s="4"/>
      <c r="J70" s="12">
        <f t="shared" ref="J70:J71" si="53">IF(H$12=0,0,H70/H$12)</f>
        <v>9.3345779437258303E-2</v>
      </c>
      <c r="K70" s="4"/>
      <c r="L70" s="4">
        <f t="shared" ref="L70:L71" si="54">+D70-H70</f>
        <v>-3290</v>
      </c>
      <c r="M70" s="4"/>
      <c r="N70" s="12">
        <f t="shared" ref="N70:N71" si="55">IF(H70=0,0,L70/H70)</f>
        <v>-0.94</v>
      </c>
      <c r="O70" s="10"/>
      <c r="P70" s="4">
        <f>SUM(OSRRefP25x_0)</f>
        <v>1938.68</v>
      </c>
      <c r="Q70" s="4"/>
      <c r="R70" s="12">
        <f t="shared" ref="R70:R71" si="56">IF(P$12=0,0,P70/P$12)</f>
        <v>4.3675866621308958E-3</v>
      </c>
      <c r="S70" s="4"/>
      <c r="T70" s="4">
        <f>SUM(OSRRefT25x_0)</f>
        <v>26650</v>
      </c>
      <c r="U70" s="4"/>
      <c r="V70" s="12">
        <f t="shared" ref="V70:V71" si="57">IF(T$12=0,0,T70/T$12)</f>
        <v>5.5393083035582519E-2</v>
      </c>
      <c r="W70" s="4"/>
      <c r="X70" s="4">
        <f t="shared" ref="X70:X71" si="58">+P70-T70</f>
        <v>-24711.32</v>
      </c>
      <c r="Y70" s="4"/>
      <c r="Z70" s="12">
        <f t="shared" ref="Z70:Z71" si="59">IF(T70=0,0,X70/T70)</f>
        <v>-0.92725403377110693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--210</f>
        <v>210</v>
      </c>
      <c r="E71" s="2"/>
      <c r="F71" s="19">
        <f t="shared" si="52"/>
        <v>4.0677966101694916E-3</v>
      </c>
      <c r="G71" s="2"/>
      <c r="H71" s="2">
        <v>3500</v>
      </c>
      <c r="I71" s="2"/>
      <c r="J71" s="19">
        <f t="shared" si="53"/>
        <v>9.3345779437258303E-2</v>
      </c>
      <c r="K71" s="2"/>
      <c r="L71" s="2">
        <f t="shared" si="54"/>
        <v>-3290</v>
      </c>
      <c r="M71" s="2"/>
      <c r="N71" s="19">
        <f t="shared" si="55"/>
        <v>-0.94</v>
      </c>
      <c r="O71" s="11"/>
      <c r="P71" s="2">
        <f>--1938.68</f>
        <v>1938.68</v>
      </c>
      <c r="Q71" s="2"/>
      <c r="R71" s="19">
        <f t="shared" si="56"/>
        <v>4.3675866621308958E-3</v>
      </c>
      <c r="S71" s="2"/>
      <c r="T71" s="2">
        <v>26650</v>
      </c>
      <c r="U71" s="2"/>
      <c r="V71" s="19">
        <f t="shared" si="57"/>
        <v>5.5393083035582519E-2</v>
      </c>
      <c r="W71" s="2"/>
      <c r="X71" s="2">
        <f t="shared" si="58"/>
        <v>-24711.32</v>
      </c>
      <c r="Y71" s="2"/>
      <c r="Z71" s="19">
        <f t="shared" si="59"/>
        <v>-0.92725403377110693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277</v>
      </c>
      <c r="C73" s="29"/>
      <c r="D73" s="20">
        <f>+D17-D19+D70</f>
        <v>10578.740000000005</v>
      </c>
      <c r="E73" s="14"/>
      <c r="F73" s="21">
        <f>IF(D$12=0,0,D73/D$12)</f>
        <v>0.20491506053268776</v>
      </c>
      <c r="G73" s="14"/>
      <c r="H73" s="20">
        <f>+H17-H19+H70</f>
        <v>5585.4168486846174</v>
      </c>
      <c r="I73" s="14"/>
      <c r="J73" s="21">
        <f>IF(H$12=0,0,H73/H$12)</f>
        <v>0.14896431120641732</v>
      </c>
      <c r="K73" s="16"/>
      <c r="L73" s="20">
        <f>+D73-H73</f>
        <v>4993.3231513153878</v>
      </c>
      <c r="M73" s="16"/>
      <c r="N73" s="21">
        <f>IF(H73=0,0,L73/H73)</f>
        <v>0.89399292596958646</v>
      </c>
      <c r="O73" s="28"/>
      <c r="P73" s="20">
        <f>+P17-P19+P70</f>
        <v>77680.659999999974</v>
      </c>
      <c r="Q73" s="14"/>
      <c r="R73" s="21">
        <f>IF(P$12=0,0,P73/P$12)</f>
        <v>0.17500413400949352</v>
      </c>
      <c r="S73" s="14"/>
      <c r="T73" s="20">
        <f>+T17-T19+T70</f>
        <v>72851.20169659995</v>
      </c>
      <c r="U73" s="14"/>
      <c r="V73" s="21">
        <f>IF(T$12=0,0,T73/T$12)</f>
        <v>0.15142411500269159</v>
      </c>
      <c r="W73" s="16"/>
      <c r="X73" s="20">
        <f>+P73-T73</f>
        <v>4829.4583034000243</v>
      </c>
      <c r="Y73" s="16"/>
      <c r="Z73" s="21">
        <f>IF(T73=0,0,X73/T73)</f>
        <v>6.6292088406627078E-2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>
        <v>13799.37</v>
      </c>
      <c r="E75" s="4"/>
      <c r="F75" s="12">
        <f>IF(D$12=0,0,D75/D$12)</f>
        <v>0.26730014527845036</v>
      </c>
      <c r="G75" s="4"/>
      <c r="H75" s="4">
        <v>8787</v>
      </c>
      <c r="I75" s="4"/>
      <c r="J75" s="12">
        <f>IF(H$12=0,0,H75/H$12)</f>
        <v>0.23435124683291106</v>
      </c>
      <c r="K75" s="4"/>
      <c r="L75" s="4">
        <f>+D75-H75</f>
        <v>5012.3700000000008</v>
      </c>
      <c r="M75" s="4"/>
      <c r="N75" s="12">
        <f>IF(H75=0,0,L75/H75)</f>
        <v>0.57043018094912945</v>
      </c>
      <c r="O75" s="10"/>
      <c r="P75" s="4">
        <v>91479.69</v>
      </c>
      <c r="Q75" s="4"/>
      <c r="R75" s="12">
        <f>IF(P$12=0,0,P75/P$12)</f>
        <v>0.20609150241394614</v>
      </c>
      <c r="S75" s="4"/>
      <c r="T75" s="4">
        <v>85080</v>
      </c>
      <c r="U75" s="4"/>
      <c r="V75" s="12">
        <f>IF(T$12=0,0,T75/T$12)</f>
        <v>0.17684215777363455</v>
      </c>
      <c r="W75" s="4"/>
      <c r="X75" s="4">
        <f>+P75-T75</f>
        <v>6399.6900000000023</v>
      </c>
      <c r="Y75" s="4"/>
      <c r="Z75" s="12">
        <f>IF(T75=0,0,X75/T75)</f>
        <v>7.5219675599435848E-2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126</v>
      </c>
      <c r="C77" s="29"/>
      <c r="D77" s="34">
        <f>+D73-D75</f>
        <v>-3220.6299999999956</v>
      </c>
      <c r="E77" s="14"/>
      <c r="F77" s="30">
        <f>IF(D$12=0,0,D77/D$12)</f>
        <v>-6.2385084745762626E-2</v>
      </c>
      <c r="G77" s="14"/>
      <c r="H77" s="34">
        <f>+H73-H75</f>
        <v>-3201.5831513153826</v>
      </c>
      <c r="I77" s="14"/>
      <c r="J77" s="30">
        <f>IF(H$12=0,0,H77/H$12)</f>
        <v>-8.5386935626493729E-2</v>
      </c>
      <c r="K77" s="16"/>
      <c r="L77" s="34">
        <f>D77-H77</f>
        <v>-19.046848684612996</v>
      </c>
      <c r="M77" s="16"/>
      <c r="N77" s="30">
        <f>IF(H77=0,0,L77/H77)</f>
        <v>5.9491969392666023E-3</v>
      </c>
      <c r="O77" s="28"/>
      <c r="P77" s="34">
        <f>+P73-P75</f>
        <v>-13799.030000000028</v>
      </c>
      <c r="Q77" s="14"/>
      <c r="R77" s="30">
        <f>IF(P$12=0,0,P77/P$12)</f>
        <v>-3.1087368404452628E-2</v>
      </c>
      <c r="S77" s="14"/>
      <c r="T77" s="34">
        <f>+T73-T75</f>
        <v>-12228.79830340005</v>
      </c>
      <c r="U77" s="14"/>
      <c r="V77" s="30">
        <f>IF(T$12=0,0,T77/T$12)</f>
        <v>-2.541804277094295E-2</v>
      </c>
      <c r="W77" s="16"/>
      <c r="X77" s="34">
        <f>P77-T77</f>
        <v>-1570.231696599978</v>
      </c>
      <c r="Y77" s="16"/>
      <c r="Z77" s="30">
        <f>IF(T77=0,0,X77/T77)</f>
        <v>0.12840441535153921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294</v>
      </c>
      <c r="C80" s="29"/>
      <c r="D80" s="31">
        <f>SUM(D77:D79)</f>
        <v>-3220.6299999999956</v>
      </c>
      <c r="E80" s="14"/>
      <c r="F80" s="35">
        <f>IF(D$12=0,0,D80/D$12)</f>
        <v>-6.2385084745762626E-2</v>
      </c>
      <c r="G80" s="14"/>
      <c r="H80" s="31">
        <f>SUM(H77:H79)</f>
        <v>-3201.5831513153826</v>
      </c>
      <c r="I80" s="14"/>
      <c r="J80" s="35">
        <f>IF(H$12=0,0,H80/H$12)</f>
        <v>-8.5386935626493729E-2</v>
      </c>
      <c r="K80" s="16"/>
      <c r="L80" s="31">
        <f>+D80-H80</f>
        <v>-19.046848684612996</v>
      </c>
      <c r="M80" s="16"/>
      <c r="N80" s="35">
        <f>IF(H80=0,0,L80/H80)</f>
        <v>5.9491969392666023E-3</v>
      </c>
      <c r="O80" s="28"/>
      <c r="P80" s="31">
        <f>SUM(P77:P79)</f>
        <v>-13799.030000000028</v>
      </c>
      <c r="Q80" s="14"/>
      <c r="R80" s="35">
        <f>IF(P$12=0,0,P80/P$12)</f>
        <v>-3.1087368404452628E-2</v>
      </c>
      <c r="S80" s="14"/>
      <c r="T80" s="31">
        <f>SUM(T77:T79)</f>
        <v>-12228.79830340005</v>
      </c>
      <c r="U80" s="14"/>
      <c r="V80" s="35">
        <f>IF(T$12=0,0,T80/T$12)</f>
        <v>-2.541804277094295E-2</v>
      </c>
      <c r="W80" s="16"/>
      <c r="X80" s="31">
        <f>+P80-T80</f>
        <v>-1570.231696599978</v>
      </c>
      <c r="Y80" s="16"/>
      <c r="Z80" s="35">
        <f>IF(T80=0,0,X80/T80)</f>
        <v>0.12840441535153921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44295.961797766206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3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7" t="s">
        <v>23</v>
      </c>
    </row>
    <row r="3" spans="1:26" x14ac:dyDescent="0.25">
      <c r="D3" s="57" t="s">
        <v>237</v>
      </c>
      <c r="E3" s="17"/>
      <c r="F3" s="47"/>
      <c r="G3" s="17"/>
      <c r="H3" s="17"/>
      <c r="I3" s="17"/>
      <c r="J3" s="39"/>
      <c r="K3" s="17"/>
      <c r="L3" s="17"/>
      <c r="M3" s="17"/>
      <c r="N3" s="47"/>
      <c r="O3" s="58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9"/>
      <c r="K4" s="17"/>
      <c r="L4" s="17"/>
      <c r="M4" s="17"/>
      <c r="N4" s="47"/>
      <c r="O4" s="58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9"/>
      <c r="K5" s="17"/>
      <c r="L5" s="17"/>
      <c r="M5" s="17"/>
      <c r="N5" s="47"/>
      <c r="O5" s="58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9"/>
      <c r="K6" s="17"/>
      <c r="L6" s="17"/>
      <c r="M6" s="17"/>
      <c r="N6" s="47"/>
      <c r="O6" s="55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57</v>
      </c>
      <c r="E10" s="33"/>
      <c r="F10" s="40" t="s">
        <v>40</v>
      </c>
      <c r="G10" s="33"/>
      <c r="H10" s="51" t="s">
        <v>238</v>
      </c>
      <c r="I10" s="33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3" t="s">
        <v>57</v>
      </c>
      <c r="Q10" s="33"/>
      <c r="R10" s="40" t="s">
        <v>40</v>
      </c>
      <c r="S10" s="33"/>
      <c r="T10" s="51" t="s">
        <v>238</v>
      </c>
      <c r="U10" s="33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108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277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126</v>
      </c>
      <c r="C31" s="29"/>
      <c r="D31" s="34" t="e">
        <f ca="1">+D27-D29</f>
        <v>#NAME?</v>
      </c>
      <c r="E31" s="14"/>
      <c r="F31" s="30" t="e">
        <f ca="1">IF(D$12=0,0,D31/D$12)</f>
        <v>#NAME?</v>
      </c>
      <c r="G31" s="14"/>
      <c r="H31" s="34" t="e">
        <f ca="1">+H27-H29</f>
        <v>#NAME?</v>
      </c>
      <c r="I31" s="14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8"/>
      <c r="P31" s="34" t="e">
        <f ca="1">+P27-P29</f>
        <v>#NAME?</v>
      </c>
      <c r="Q31" s="14"/>
      <c r="R31" s="30" t="e">
        <f ca="1">IF(P$12=0,0,P31/P$12)</f>
        <v>#NAME?</v>
      </c>
      <c r="S31" s="14"/>
      <c r="T31" s="34" t="e">
        <f ca="1">+T27-T29</f>
        <v>#NAME?</v>
      </c>
      <c r="U31" s="14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294</v>
      </c>
      <c r="C36" s="29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8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7195EA2-07A0-4AB9-BAA5-4AA31168E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F22C01-3EEA-4C6A-8ED4-5227980618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A4E33D-A902-4BD7-9F75-1A67BC5A3B07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762caf36-b0c2-49b4-ab14-ff4bceb8c0ae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3994</vt:i4>
      </vt:variant>
    </vt:vector>
  </HeadingPairs>
  <TitlesOfParts>
    <vt:vector size="409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2021-04-09T23:06:08Z</dcterms:created>
  <dcterms:modified xsi:type="dcterms:W3CDTF">2021-04-09T23:19:50Z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